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135" windowHeight="7080" tabRatio="904" firstSheet="2" activeTab="0"/>
  </bookViews>
  <sheets>
    <sheet name="Assumptions" sheetId="1" r:id="rId1"/>
    <sheet name="Revenues" sheetId="2" r:id="rId2"/>
    <sheet name="Ratios" sheetId="3" r:id="rId3"/>
    <sheet name="CoP &amp; MoF" sheetId="4" r:id="rId4"/>
    <sheet name="P&amp;L" sheetId="5" r:id="rId5"/>
    <sheet name="Balance Sheet" sheetId="6" r:id="rId6"/>
    <sheet name="Cash Flows" sheetId="7" r:id="rId7"/>
    <sheet name="Term Loan" sheetId="8" r:id="rId8"/>
    <sheet name="Depreciation" sheetId="9" r:id="rId9"/>
    <sheet name="WC" sheetId="10" r:id="rId10"/>
    <sheet name="Tax" sheetId="11" r:id="rId11"/>
    <sheet name="Manpower cost" sheetId="12" r:id="rId12"/>
    <sheet name="New  WTP" sheetId="13" r:id="rId13"/>
    <sheet name="O&amp;M Year 1 &amp;2" sheetId="14" r:id="rId14"/>
    <sheet name="O&amp;M Year 3 onwards" sheetId="15" r:id="rId15"/>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A">#REF!</definedName>
    <definedName name="\B">#REF!</definedName>
    <definedName name="\C">#REF!</definedName>
    <definedName name="\X">#REF!</definedName>
    <definedName name="\Z">#REF!</definedName>
    <definedName name="__LoO2">#REF!</definedName>
    <definedName name="__Rc">#REF!</definedName>
    <definedName name="__Sfm3">#REF!</definedName>
    <definedName name="__SLp1">#REF!</definedName>
    <definedName name="__SLp2">#REF!</definedName>
    <definedName name="__SSd1">'[1]Sump'!$G$17</definedName>
    <definedName name="__TNH4">#REF!</definedName>
    <definedName name="__xlfn.BAHTTEXT" hidden="1">#NAME?</definedName>
    <definedName name="_Fill" localSheetId="12" hidden="1">#REF!</definedName>
    <definedName name="_Fill" localSheetId="10" hidden="1">#REF!</definedName>
    <definedName name="_Fill" hidden="1">#REF!</definedName>
    <definedName name="_Key1" localSheetId="12" hidden="1">#REF!</definedName>
    <definedName name="_Key1" hidden="1">#REF!</definedName>
    <definedName name="_Key2" localSheetId="12" hidden="1">#REF!</definedName>
    <definedName name="_Key2" hidden="1">#REF!</definedName>
    <definedName name="_LoO2">#REF!</definedName>
    <definedName name="_MAC1">#REF!</definedName>
    <definedName name="_Order1" hidden="1">255</definedName>
    <definedName name="_Order2" hidden="1">255</definedName>
    <definedName name="_Rc">#REF!</definedName>
    <definedName name="_Sfm3">#REF!</definedName>
    <definedName name="_SLp1">#REF!</definedName>
    <definedName name="_SLp2">#REF!</definedName>
    <definedName name="_Sort" localSheetId="12" hidden="1">#REF!</definedName>
    <definedName name="_Sort" hidden="1">#REF!</definedName>
    <definedName name="_SSd1">'[1]Sump'!$G$17</definedName>
    <definedName name="_sum010" localSheetId="12">#REF!</definedName>
    <definedName name="_sum010">#REF!</definedName>
    <definedName name="_sum020" localSheetId="12">#REF!</definedName>
    <definedName name="_sum020">#REF!</definedName>
    <definedName name="_sum120" localSheetId="12">#REF!</definedName>
    <definedName name="_sum120">#REF!</definedName>
    <definedName name="_sum140" localSheetId="12">#REF!</definedName>
    <definedName name="_sum140">#REF!</definedName>
    <definedName name="_SUM200" localSheetId="12">#REF!</definedName>
    <definedName name="_SUM200">#REF!</definedName>
    <definedName name="_SUM400" localSheetId="12">#REF!</definedName>
    <definedName name="_SUM400">#REF!</definedName>
    <definedName name="_SUM410" localSheetId="12">#REF!</definedName>
    <definedName name="_SUM410">#REF!</definedName>
    <definedName name="_SUM420" localSheetId="12">#REF!</definedName>
    <definedName name="_SUM420">#REF!</definedName>
    <definedName name="_SUM440" localSheetId="12">#REF!</definedName>
    <definedName name="_SUM440">#REF!</definedName>
    <definedName name="_SUM460" localSheetId="12">#REF!</definedName>
    <definedName name="_SUM460">#REF!</definedName>
    <definedName name="_SUM480" localSheetId="12">#REF!</definedName>
    <definedName name="_SUM480">#REF!</definedName>
    <definedName name="_SUM500" localSheetId="12">#REF!</definedName>
    <definedName name="_SUM500">#REF!</definedName>
    <definedName name="_SUM510" localSheetId="12">#REF!</definedName>
    <definedName name="_SUM510">#REF!</definedName>
    <definedName name="_SUM530" localSheetId="12">#REF!</definedName>
    <definedName name="_SUM530">#REF!</definedName>
    <definedName name="_SUM540" localSheetId="12">#REF!</definedName>
    <definedName name="_SUM540">#REF!</definedName>
    <definedName name="_SUM560" localSheetId="12">#REF!</definedName>
    <definedName name="_SUM560">#REF!</definedName>
    <definedName name="_SUM570" localSheetId="12">#REF!</definedName>
    <definedName name="_SUM570">#REF!</definedName>
    <definedName name="_SUM580" localSheetId="12">#REF!</definedName>
    <definedName name="_SUM580">#REF!</definedName>
    <definedName name="_SUM590" localSheetId="12">#REF!</definedName>
    <definedName name="_SUM590">#REF!</definedName>
    <definedName name="_SUM700" localSheetId="12">#REF!</definedName>
    <definedName name="_SUM700">#REF!</definedName>
    <definedName name="_SUM701" localSheetId="12">#REF!</definedName>
    <definedName name="_SUM701">#REF!</definedName>
    <definedName name="_SUM702" localSheetId="12">#REF!</definedName>
    <definedName name="_SUM702">#REF!</definedName>
    <definedName name="_SUM703" localSheetId="12">#REF!</definedName>
    <definedName name="_SUM703">#REF!</definedName>
    <definedName name="_SUM704" localSheetId="12">#REF!</definedName>
    <definedName name="_SUM704">#REF!</definedName>
    <definedName name="_sum770" localSheetId="12">#REF!</definedName>
    <definedName name="_sum770">#REF!</definedName>
    <definedName name="_SUM800" localSheetId="12">#REF!</definedName>
    <definedName name="_SUM800">#REF!</definedName>
    <definedName name="_sum900" localSheetId="12">#REF!</definedName>
    <definedName name="_sum900">#REF!</definedName>
    <definedName name="_SUM901" localSheetId="12">#REF!</definedName>
    <definedName name="_SUM901">#REF!</definedName>
    <definedName name="_SUM902" localSheetId="12">#REF!</definedName>
    <definedName name="_SUM902">#REF!</definedName>
    <definedName name="_SUM903" localSheetId="12">#REF!</definedName>
    <definedName name="_SUM903">#REF!</definedName>
    <definedName name="_SUM904" localSheetId="12">#REF!</definedName>
    <definedName name="_SUM904">#REF!</definedName>
    <definedName name="_TNH4">#REF!</definedName>
    <definedName name="A" localSheetId="12">#REF!</definedName>
    <definedName name="a">#REF!</definedName>
    <definedName name="aa">#REF!</definedName>
    <definedName name="aaa" localSheetId="12">#REF!</definedName>
    <definedName name="aaa">#REF!</definedName>
    <definedName name="aaaa">#REF!</definedName>
    <definedName name="Ab">'[2]Process Calc'!#REF!</definedName>
    <definedName name="abf" localSheetId="12">'[3]pt-cw'!#REF!</definedName>
    <definedName name="abf">'[3]pt-cw'!#REF!</definedName>
    <definedName name="AbtdboAer">#REF!</definedName>
    <definedName name="AbtdboDP">#REF!</definedName>
    <definedName name="AbtdboSAer">#REF!</definedName>
    <definedName name="AbtdboTP">#REF!</definedName>
    <definedName name="AbtdcoDP">#REF!</definedName>
    <definedName name="AbtdcoTP">#REF!</definedName>
    <definedName name="AbtmesDP">#REF!</definedName>
    <definedName name="AbtmesTP">#REF!</definedName>
    <definedName name="AbtNkDP">#REF!</definedName>
    <definedName name="AbtNkTP">#REF!</definedName>
    <definedName name="AbtPhoTDP">#REF!</definedName>
    <definedName name="AbtPhoTP">#REF!</definedName>
    <definedName name="ACTEA" localSheetId="12">#REF!</definedName>
    <definedName name="ACTEA">#REF!</definedName>
    <definedName name="afb">#REF!</definedName>
    <definedName name="Affichage_formules">#REF!</definedName>
    <definedName name="ahdfla">#REF!</definedName>
    <definedName name="AjbN">#REF!</definedName>
    <definedName name="AjbNMin">#REF!</definedName>
    <definedName name="AjbNVbioT">#REF!</definedName>
    <definedName name="AjbTh">#REF!</definedName>
    <definedName name="AjMaxNivE">#REF!</definedName>
    <definedName name="alansab">#REF!</definedName>
    <definedName name="ald">#REF!</definedName>
    <definedName name="AlDEPHOS2">#REF!</definedName>
    <definedName name="AlDEPHOS3">#REF!</definedName>
    <definedName name="AlPTj2">#REF!</definedName>
    <definedName name="AlPTj3">#REF!</definedName>
    <definedName name="alt">'[2]Process Calc'!#REF!</definedName>
    <definedName name="alw">#REF!</definedName>
    <definedName name="Am">#REF!</definedName>
    <definedName name="ANOX">#REF!</definedName>
    <definedName name="anoxie">'[4]Récapitulatif'!#REF!</definedName>
    <definedName name="Aspir">'[5]Hydraulic'!#REF!</definedName>
    <definedName name="atm" localSheetId="12">#REF!</definedName>
    <definedName name="atm">#REF!</definedName>
    <definedName name="atul">#REF!</definedName>
    <definedName name="Auftragswert" localSheetId="12">#REF!</definedName>
    <definedName name="Auftragswert">#REF!</definedName>
    <definedName name="AXE">'[5]Hydraulic'!#REF!</definedName>
    <definedName name="b">#REF!</definedName>
    <definedName name="b_BB">#REF!</definedName>
    <definedName name="Ba">#REF!</definedName>
    <definedName name="BaAnaero">#REF!</definedName>
    <definedName name="BaNit">#REF!</definedName>
    <definedName name="BBPTRet1">#REF!</definedName>
    <definedName name="Beff">#REF!</definedName>
    <definedName name="Belt">#REF!</definedName>
    <definedName name="BFR">#REF!</definedName>
    <definedName name="BILAN_NITRIF">#REF!</definedName>
    <definedName name="Bmin">#REF!</definedName>
    <definedName name="BminPT">#REF!</definedName>
    <definedName name="BMVSex">#REF!</definedName>
    <definedName name="BNit">#REF!</definedName>
    <definedName name="BsAer">#REF!</definedName>
    <definedName name="BSB5_Reinigung_in_BiopurC" localSheetId="12">'[6]BALAN1'!#REF!</definedName>
    <definedName name="BSB5_Reinigung_in_BiopurC">'[6]BALAN1'!#REF!</definedName>
    <definedName name="BSB5_Reinigung_in_BiopurN" localSheetId="12">'[6]BALAN1'!#REF!</definedName>
    <definedName name="BSB5_Reinigung_in_BiopurN">'[6]BALAN1'!#REF!</definedName>
    <definedName name="BSB5Rückläufekg">'[6]BALAN1'!$E$15</definedName>
    <definedName name="BSB5vorklkg">'[6]BALAN1'!$F$15</definedName>
    <definedName name="BSB5vorklmg">'[6]BALAN1'!$F$16</definedName>
    <definedName name="Bsj">#REF!</definedName>
    <definedName name="BTerPT">#REF!</definedName>
    <definedName name="BTerPT3Al">#REF!</definedName>
    <definedName name="BTerPT3Fe">#REF!</definedName>
    <definedName name="BTex">#REF!</definedName>
    <definedName name="BTexAlPT3">#REF!</definedName>
    <definedName name="BTexFePT3">#REF!</definedName>
    <definedName name="BTexPT2">#REF!</definedName>
    <definedName name="Bvi">#REF!</definedName>
    <definedName name="BWF1B">#REF!</definedName>
    <definedName name="bwfb">#REF!</definedName>
    <definedName name="bwl">#REF!</definedName>
    <definedName name="bwld">#REF!</definedName>
    <definedName name="bwssb" localSheetId="12">'[7]Legal Risk Analysis'!#REF!</definedName>
    <definedName name="bwssb">'[7]Legal Risk Analysis'!#REF!</definedName>
    <definedName name="bww">#REF!</definedName>
    <definedName name="CA" localSheetId="12">#REF!</definedName>
    <definedName name="CA">#REF!</definedName>
    <definedName name="CaCO3denit">#REF!</definedName>
    <definedName name="CaCO3Dephos">#REF!</definedName>
    <definedName name="CaCO3Nit">#REF!</definedName>
    <definedName name="CAL_ANX_BOUE">#REF!</definedName>
    <definedName name="CAL_ANX_DEPHOSBIO">#REF!</definedName>
    <definedName name="CAL_ANX_DEPHOSTER">#REF!</definedName>
    <definedName name="CAL_ANX_ELIM_DBO">#REF!</definedName>
    <definedName name="CAL_ANX_O2">#REF!</definedName>
    <definedName name="CAL_ANX_RECIR_B">#REF!</definedName>
    <definedName name="CAL_ANX_RETOURS">#REF!</definedName>
    <definedName name="CAL_ANX_SUBST_C">#REF!</definedName>
    <definedName name="chemicalcalculationperungudi">#REF!</definedName>
    <definedName name="chemsludgecal" localSheetId="12">#REF!</definedName>
    <definedName name="chemsludgecal">#REF!</definedName>
    <definedName name="CHENAL">#REF!</definedName>
    <definedName name="CmMS">#REF!</definedName>
    <definedName name="CmMV">#REF!</definedName>
    <definedName name="CmTh">#REF!</definedName>
    <definedName name="CoBprim">#REF!</definedName>
    <definedName name="CoDboTP">#REF!</definedName>
    <definedName name="CoDCO">#REF!</definedName>
    <definedName name="CoDCOAer">#REF!</definedName>
    <definedName name="CoDCOTP">#REF!</definedName>
    <definedName name="CoLO">#REF!</definedName>
    <definedName name="CoLoAer">#REF!</definedName>
    <definedName name="CoMES">#REF!</definedName>
    <definedName name="CoMESAer">#REF!</definedName>
    <definedName name="CoMESTP">#REF!</definedName>
    <definedName name="ConfigBio">#REF!</definedName>
    <definedName name="CoNH4">#REF!</definedName>
    <definedName name="CoNH4TP">#REF!</definedName>
    <definedName name="CoNK">#REF!</definedName>
    <definedName name="CoNKjAer">#REF!</definedName>
    <definedName name="CoNKTP">#REF!</definedName>
    <definedName name="CoNO3End">#REF!</definedName>
    <definedName name="CoNO3Nit">#REF!</definedName>
    <definedName name="CoNO3Nitp">#REF!</definedName>
    <definedName name="CoNO3Rec">#REF!</definedName>
    <definedName name="CoNO3Rej">#REF!</definedName>
    <definedName name="CoNO3zone">#REF!</definedName>
    <definedName name="CoNTKrej">#REF!</definedName>
    <definedName name="CoPhoNSrej1">#REF!</definedName>
    <definedName name="CoPhoNSrej2">#REF!</definedName>
    <definedName name="CoPhoNSrej3">#REF!</definedName>
    <definedName name="CoPhoNSrej3Al">#REF!</definedName>
    <definedName name="CoPhoNSrej3Fe">#REF!</definedName>
    <definedName name="CoPhoS3">#REF!</definedName>
    <definedName name="CoPhoSrej1">#REF!</definedName>
    <definedName name="CoPhoSrej2">#REF!</definedName>
    <definedName name="CoPhoSrej3">#REF!</definedName>
    <definedName name="CoPhoSrej3Al">#REF!</definedName>
    <definedName name="CoPhoSrej3Fe">#REF!</definedName>
    <definedName name="CoPhoT">#REF!</definedName>
    <definedName name="CoPhoTjAer">#REF!</definedName>
    <definedName name="CoPhoTmax">#REF!</definedName>
    <definedName name="CoPhoTRej1">#REF!</definedName>
    <definedName name="CoPhoTrej2">#REF!</definedName>
    <definedName name="CoPhoTrej3">#REF!</definedName>
    <definedName name="CoPhoTrej3Al">#REF!</definedName>
    <definedName name="CoPhoTrej3Fe">#REF!</definedName>
    <definedName name="CoPhoTTP">#REF!</definedName>
    <definedName name="Cp">#REF!</definedName>
    <definedName name="CpC">#REF!</definedName>
    <definedName name="cpcl">#REF!</definedName>
    <definedName name="cpcl26.4" localSheetId="12">#REF!</definedName>
    <definedName name="cpcl26.4">#REF!</definedName>
    <definedName name="cpcl26.4mldnew" localSheetId="12">#REF!</definedName>
    <definedName name="cpcl26.4mldnew">#REF!</definedName>
    <definedName name="CpH">#REF!</definedName>
    <definedName name="CpLO">#REF!</definedName>
    <definedName name="Cpp">#REF!</definedName>
    <definedName name="Crex">#REF!</definedName>
    <definedName name="CrexP">#REF!</definedName>
    <definedName name="Cs">#REF!</definedName>
    <definedName name="Cs_10">#REF!</definedName>
    <definedName name="Csc">#REF!</definedName>
    <definedName name="CTG_WDEMANDGRPS">#REF!</definedName>
    <definedName name="CTG_WDEMANDS">#REF!</definedName>
    <definedName name="CTG_WDEMANDUNITS">#REF!</definedName>
    <definedName name="Ctr">#REF!</definedName>
    <definedName name="Ctss">#REF!</definedName>
    <definedName name="Cv">#REF!</definedName>
    <definedName name="CvH">#REF!</definedName>
    <definedName name="CvT">#REF!</definedName>
    <definedName name="Cx">#REF!</definedName>
    <definedName name="D" localSheetId="12">#REF!</definedName>
    <definedName name="D">#REF!</definedName>
    <definedName name="db">#REF!</definedName>
    <definedName name="dboAssNO3j">#REF!</definedName>
    <definedName name="dboAssNO3Th">#REF!</definedName>
    <definedName name="DbofTP">#REF!</definedName>
    <definedName name="DbojTP">#REF!</definedName>
    <definedName name="dboretour">#REF!</definedName>
    <definedName name="dboSubstCj">#REF!</definedName>
    <definedName name="DcoEB">'[8]Calculation'!#REF!</definedName>
    <definedName name="DCOj">#REF!</definedName>
    <definedName name="DCOjAer">#REF!</definedName>
    <definedName name="DcojTP">#REF!</definedName>
    <definedName name="DCs">#REF!</definedName>
    <definedName name="deb_dico">'[5]Hydraulic'!#REF!</definedName>
    <definedName name="DECPRIM">#REF!</definedName>
    <definedName name="DENITEND">#REF!</definedName>
    <definedName name="denitrif">#REF!</definedName>
    <definedName name="DEPHOS">#REF!</definedName>
    <definedName name="DEPHOSTER">#REF!</definedName>
    <definedName name="depr" localSheetId="12">#REF!</definedName>
    <definedName name="depr">#REF!</definedName>
    <definedName name="Déprotection">#REF!</definedName>
    <definedName name="DiamClfR">#REF!</definedName>
    <definedName name="dico">'[5]Hydraulic'!#REF!</definedName>
    <definedName name="dico1">'[9]dico'!$A:$F</definedName>
    <definedName name="DISPAER">#REF!</definedName>
    <definedName name="djb">#REF!</definedName>
    <definedName name="DM">#REF!</definedName>
    <definedName name="DP">#REF!</definedName>
    <definedName name="DRAWINGS" localSheetId="12">#REF!</definedName>
    <definedName name="DRAWINGS">#REF!</definedName>
    <definedName name="DRAWINGS_I" localSheetId="12">#REF!</definedName>
    <definedName name="DRAWINGS_I">#REF!</definedName>
    <definedName name="dsm">#REF!</definedName>
    <definedName name="dwpefb">#REF!</definedName>
    <definedName name="dwpeld">#REF!</definedName>
    <definedName name="dwpelw">#REF!</definedName>
    <definedName name="E" localSheetId="12">#REF!</definedName>
    <definedName name="e">2.718</definedName>
    <definedName name="Effieciens_Sclammabscheidung">'[6]BALAN1'!$E$50</definedName>
    <definedName name="Effizienz_Abscheidung_Schlammw_inVK">'[6]BALAN1'!$E$51</definedName>
    <definedName name="elctricsp">#REF!</definedName>
    <definedName name="electricals">#REF!</definedName>
    <definedName name="endo1">'[4]Récapitulatif'!#REF!</definedName>
    <definedName name="endo2">'[4]Récapitulatif'!#REF!</definedName>
    <definedName name="endo3">'[4]Récapitulatif'!#REF!</definedName>
    <definedName name="endo4">'[4]Récapitulatif'!#REF!</definedName>
    <definedName name="F">#REF!</definedName>
    <definedName name="Fe_kg_BiopurN">'[6]BALAN1'!$J$28</definedName>
    <definedName name="Fe_kg_Vorfällung">'[6]BALAN1'!$F$28</definedName>
    <definedName name="FeDEPHOS2">#REF!</definedName>
    <definedName name="FeDEPHOS3">#REF!</definedName>
    <definedName name="FePTj1">#REF!</definedName>
    <definedName name="FePTj2">#REF!</definedName>
    <definedName name="FePTj3">#REF!</definedName>
    <definedName name="Fermer_ligne">#REF!</definedName>
    <definedName name="FF">#REF!</definedName>
    <definedName name="fid">#REF!</definedName>
    <definedName name="fifb">#REF!</definedName>
    <definedName name="fil">#REF!</definedName>
    <definedName name="FIN">#REF!</definedName>
    <definedName name="FIN_ZIMP">#REF!</definedName>
    <definedName name="FIN_ZONE_IMPRESSION">#REF!</definedName>
    <definedName name="fiw">#REF!</definedName>
    <definedName name="fl">#REF!</definedName>
    <definedName name="fld">#REF!</definedName>
    <definedName name="flg" localSheetId="12">#REF!</definedName>
    <definedName name="flg">#REF!</definedName>
    <definedName name="fm">#REF!</definedName>
    <definedName name="fmld">#REF!</definedName>
    <definedName name="Format_Cellules">#REF!</definedName>
    <definedName name="frl">'[10]Process'!#REF!</definedName>
    <definedName name="fw">#REF!</definedName>
    <definedName name="fwfb">#REF!</definedName>
    <definedName name="fwl">#REF!</definedName>
    <definedName name="fwld">#REF!</definedName>
    <definedName name="fwrfb">#REF!</definedName>
    <definedName name="fwrl">#REF!</definedName>
    <definedName name="fwrld">#REF!</definedName>
    <definedName name="fwrw">#REF!</definedName>
    <definedName name="fwsfb">#REF!</definedName>
    <definedName name="fwsl" localSheetId="12">#REF!</definedName>
    <definedName name="fwsl">#REF!</definedName>
    <definedName name="fwsld">#REF!</definedName>
    <definedName name="fwsw">#REF!</definedName>
    <definedName name="fww">#REF!</definedName>
    <definedName name="FxdboDPS">#REF!</definedName>
    <definedName name="FxdboTPS">#REF!</definedName>
    <definedName name="FxdcoDPS">#REF!</definedName>
    <definedName name="FxdcoTPS">#REF!</definedName>
    <definedName name="FxmesDPS">#REF!</definedName>
    <definedName name="FxmesTPS">#REF!</definedName>
    <definedName name="FxNkDPS">#REF!</definedName>
    <definedName name="FxNkTPS">#REF!</definedName>
    <definedName name="FxPhoTDPS">#REF!</definedName>
    <definedName name="FxPhoTPS">#REF!</definedName>
    <definedName name="G" localSheetId="12">#REF!</definedName>
    <definedName name="G">#REF!</definedName>
    <definedName name="Ga">#REF!</definedName>
    <definedName name="Gaa">#REF!</definedName>
    <definedName name="Gb">#REF!</definedName>
    <definedName name="Gbb">#REF!</definedName>
    <definedName name="Gc">#REF!</definedName>
    <definedName name="Gcc">#REF!</definedName>
    <definedName name="Geschäftsbereich" localSheetId="12">#REF!</definedName>
    <definedName name="Geschäftsbereich">#REF!</definedName>
    <definedName name="gg">#REF!</definedName>
    <definedName name="H" localSheetId="12">#REF!</definedName>
    <definedName name="H">#REF!</definedName>
    <definedName name="Hc">#REF!</definedName>
    <definedName name="hcc">#REF!</definedName>
    <definedName name="Heau">#REF!</definedName>
    <definedName name="IBoue">#REF!</definedName>
    <definedName name="Impress_red">#REF!</definedName>
    <definedName name="Initialisation">#REF!</definedName>
    <definedName name="inspbg">#REF!</definedName>
    <definedName name="inspbgcharges" localSheetId="12">#REF!</definedName>
    <definedName name="inspbgcharges">#REF!</definedName>
    <definedName name="Instrumentation">#REF!</definedName>
    <definedName name="iocl" localSheetId="12">#REF!</definedName>
    <definedName name="iocl">#REF!</definedName>
    <definedName name="K">#REF!</definedName>
    <definedName name="Kdbo">#REF!</definedName>
    <definedName name="Konsortialanteil" localSheetId="12">#REF!</definedName>
    <definedName name="Konsortialanteil">#REF!</definedName>
    <definedName name="l" localSheetId="12">#REF!</definedName>
    <definedName name="L">#REF!</definedName>
    <definedName name="lfb">#REF!</definedName>
    <definedName name="Lfd">#REF!</definedName>
    <definedName name="LfdS">#REF!</definedName>
    <definedName name="Lfm">#REF!</definedName>
    <definedName name="LfmS">#REF!</definedName>
    <definedName name="Lfp">#REF!</definedName>
    <definedName name="Lfpp">#REF!</definedName>
    <definedName name="LfppS">#REF!</definedName>
    <definedName name="LfpS">#REF!</definedName>
    <definedName name="lg_f">'[5]Hydraulic'!#REF!</definedName>
    <definedName name="lg_u">'[5]Hydraulic'!#REF!</definedName>
    <definedName name="LIT">#REF!</definedName>
    <definedName name="lld">#REF!</definedName>
    <definedName name="llw">#REF!</definedName>
    <definedName name="LOj">#REF!</definedName>
    <definedName name="LojAer">#REF!</definedName>
    <definedName name="Ma_ANX_BOUE">#REF!</definedName>
    <definedName name="Ma_ANX_DBO">#REF!</definedName>
    <definedName name="Ma_ANX_DEPHOSBIO">#REF!</definedName>
    <definedName name="Ma_ANX_DEPHOSTER">#REF!</definedName>
    <definedName name="Ma_ANX_O2">#REF!</definedName>
    <definedName name="Ma_ANX_RECIR_B">#REF!</definedName>
    <definedName name="Ma_ANX_RETOURS">#REF!</definedName>
    <definedName name="Ma_ANX_SUBST_C">#REF!</definedName>
    <definedName name="Ma_Choix_Dénitrif">#REF!</definedName>
    <definedName name="Ma_Fermer_NITRIF">#REF!</definedName>
    <definedName name="Ma_INIT">#REF!</definedName>
    <definedName name="Ma_Ouvrir_DECPRIM">#REF!</definedName>
    <definedName name="Ma_Ouvrir_PHYSICO">#REF!</definedName>
    <definedName name="Ma_Ouvrir_ZONECONTACT">#REF!</definedName>
    <definedName name="Ma_REACTIF_SIMULT">#REF!</definedName>
    <definedName name="Ma_REACTIF_TERTIA">#REF!</definedName>
    <definedName name="Ma_UP_BOUE">#REF!</definedName>
    <definedName name="Ma_UP_DBO">#REF!</definedName>
    <definedName name="Ma_UP_DEPHOSBIO">#REF!</definedName>
    <definedName name="Ma_UP_DEPHOSTER">#REF!</definedName>
    <definedName name="Ma_UP_O2">#REF!</definedName>
    <definedName name="Ma_UP_RECIR_B">#REF!</definedName>
    <definedName name="Ma_UP_RETOURS">#REF!</definedName>
    <definedName name="Ma_UP_SUBST_C">#REF!</definedName>
    <definedName name="Ma_Zone_DECPRIM">#REF!</definedName>
    <definedName name="Ma_Zone_NITRIF">#REF!</definedName>
    <definedName name="MAINMENU">#REF!</definedName>
    <definedName name="maintenance" localSheetId="12">'[11]Legal Risk Analysis'!#REF!</definedName>
    <definedName name="maintenance">'[11]Legal Risk Analysis'!#REF!</definedName>
    <definedName name="master">#REF!</definedName>
    <definedName name="mbpt" localSheetId="12">#REF!</definedName>
    <definedName name="mbpt">#REF!</definedName>
    <definedName name="MESj">#REF!</definedName>
    <definedName name="MESjAer">#REF!</definedName>
    <definedName name="MesjTP">#REF!</definedName>
    <definedName name="mesretour">#REF!</definedName>
    <definedName name="message">#REF!</definedName>
    <definedName name="messal">#REF!</definedName>
    <definedName name="Mot_de_passe">#REF!</definedName>
    <definedName name="MVSj">#REF!</definedName>
    <definedName name="n">'[5]Hydraulic'!#REF!</definedName>
    <definedName name="NbClf">#REF!</definedName>
    <definedName name="NdB">#REF!</definedName>
    <definedName name="Neqh">#REF!</definedName>
    <definedName name="new" localSheetId="12">'[12]Legal Risk Analysis'!#REF!</definedName>
    <definedName name="new">'[12]Legal Risk Analysis'!#REF!</definedName>
    <definedName name="new_old">'[5]Hydraulic'!#REF!</definedName>
    <definedName name="NH4jTP">#REF!</definedName>
    <definedName name="NH4Rückläufekg">'[6]BALAN1'!$E$19</definedName>
    <definedName name="NH4vorklkg">'[6]BALAN1'!$F$19</definedName>
    <definedName name="NH4vorklmg">'[6]BALAN1'!$F$20</definedName>
    <definedName name="NIT">#REF!</definedName>
    <definedName name="NivPhoT">#REF!</definedName>
    <definedName name="NivRdbo">#REF!</definedName>
    <definedName name="NivRNk">#REF!</definedName>
    <definedName name="NKj">#REF!</definedName>
    <definedName name="NKjAer">#REF!</definedName>
    <definedName name="NKjassim">#REF!</definedName>
    <definedName name="NNN">#REF!</definedName>
    <definedName name="NO3anoxjE">#REF!</definedName>
    <definedName name="NO3anoxjMax">#REF!</definedName>
    <definedName name="NO3anoxjR">#REF!</definedName>
    <definedName name="NO3denitCj">#REF!</definedName>
    <definedName name="NO3denitj">#REF!</definedName>
    <definedName name="NO3Endj">#REF!</definedName>
    <definedName name="NO3EndjR">#REF!</definedName>
    <definedName name="NO3jrecLM">#REF!</definedName>
    <definedName name="NO3jrecyclé">#REF!</definedName>
    <definedName name="NO3Nith">#REF!</definedName>
    <definedName name="NO3Nitj">#REF!</definedName>
    <definedName name="NO3Nitp">#REF!</definedName>
    <definedName name="NO3vorklkg">'[6]BALAN1'!$F$21</definedName>
    <definedName name="NO3vorklmg">'[6]BALAN1'!$F$22</definedName>
    <definedName name="Node_Demands">#REF!</definedName>
    <definedName name="NODEAREAS_WD">#REF!</definedName>
    <definedName name="NOK" localSheetId="12">#REF!</definedName>
    <definedName name="NOK">#REF!</definedName>
    <definedName name="Nouvelles_Données">#REF!</definedName>
    <definedName name="NtkjTP">#REF!</definedName>
    <definedName name="NTKmes">#REF!</definedName>
    <definedName name="NTKnh4">#REF!</definedName>
    <definedName name="NTKres">#REF!</definedName>
    <definedName name="NTKretour">#REF!</definedName>
    <definedName name="O2h1">#REF!</definedName>
    <definedName name="O2h2">#REF!</definedName>
    <definedName name="O2hEnd">#REF!</definedName>
    <definedName name="O2hp">#REF!</definedName>
    <definedName name="O2hpSt">#REF!</definedName>
    <definedName name="O2hpStR">#REF!</definedName>
    <definedName name="O2j">#REF!</definedName>
    <definedName name="O2jNit">#REF!</definedName>
    <definedName name="O2jSt">#REF!</definedName>
    <definedName name="Opérateur">'[5]Hydraulic'!#REF!</definedName>
    <definedName name="Or">#REF!</definedName>
    <definedName name="OrgNvorklkg">'[6]BALAN1'!$F$23</definedName>
    <definedName name="OrgNvorklmg">'[6]BALAN1'!$F$24</definedName>
    <definedName name="Ouvrir_ligne">#REF!</definedName>
    <definedName name="OXt">#REF!</definedName>
    <definedName name="P" localSheetId="12">#REF!</definedName>
    <definedName name="P">#REF!</definedName>
    <definedName name="p.sch1" localSheetId="12">#REF!</definedName>
    <definedName name="p.sch1">#REF!</definedName>
    <definedName name="P_reinigung_in_BiopurN" localSheetId="12">'[6]BALAN1'!#REF!</definedName>
    <definedName name="P_reinigung_in_BiopurN">'[6]BALAN1'!#REF!</definedName>
    <definedName name="P_reinigung_in_Filter" localSheetId="12">'[6]BALAN1'!#REF!</definedName>
    <definedName name="P_reinigung_in_Filter">'[6]BALAN1'!#REF!</definedName>
    <definedName name="PaB">#REF!</definedName>
    <definedName name="PaC">#REF!</definedName>
    <definedName name="PaF">#REF!</definedName>
    <definedName name="part1" localSheetId="12">'[13]7 Other Costs'!#REF!</definedName>
    <definedName name="part1">'[13]7 Other Costs'!#REF!</definedName>
    <definedName name="part2" localSheetId="12">'[13]7 Other Costs'!#REF!</definedName>
    <definedName name="part2">'[13]7 Other Costs'!#REF!</definedName>
    <definedName name="PaS">#REF!</definedName>
    <definedName name="Patm">#REF!</definedName>
    <definedName name="pbg">#REF!</definedName>
    <definedName name="pbpt" localSheetId="12">#REF!</definedName>
    <definedName name="pbpt">#REF!</definedName>
    <definedName name="PDS">#REF!</definedName>
    <definedName name="pefb">#REF!</definedName>
    <definedName name="peld">#REF!</definedName>
    <definedName name="pelw">#REF!</definedName>
    <definedName name="Perf_Garantee" localSheetId="12">#REF!</definedName>
    <definedName name="Perf_Garantee">#REF!</definedName>
    <definedName name="peru">#REF!</definedName>
    <definedName name="perugudi">#REF!</definedName>
    <definedName name="perungudi">#REF!</definedName>
    <definedName name="pftw">#REF!</definedName>
    <definedName name="PhoNSj3">#REF!</definedName>
    <definedName name="PhoSassim">#REF!</definedName>
    <definedName name="PhoSj3">#REF!</definedName>
    <definedName name="PhoSrej1">#REF!</definedName>
    <definedName name="PhoSrej2">#REF!</definedName>
    <definedName name="PhoT3">#REF!</definedName>
    <definedName name="PhoTj">#REF!</definedName>
    <definedName name="PhoTjAer">#REF!</definedName>
    <definedName name="PhoTjTP">#REF!</definedName>
    <definedName name="PHYSICOTP">#REF!</definedName>
    <definedName name="pr">#REF!</definedName>
    <definedName name="PRINT">#REF!</definedName>
    <definedName name="_xlnm.Print_Area" localSheetId="12">'New  WTP'!$A$1:$T$16</definedName>
    <definedName name="_xlnm.Print_Area" localSheetId="13">'O&amp;M Year 1 &amp;2'!$B$1:$I$64</definedName>
    <definedName name="_xlnm.Print_Area" localSheetId="14">'O&amp;M Year 3 onwards'!$B$1:$I$64</definedName>
    <definedName name="_xlnm.Print_Area" localSheetId="4">'P&amp;L'!$A$3:$T$32</definedName>
    <definedName name="_xlnm.Print_Area" localSheetId="2">'Ratios'!$A$3:$N$38</definedName>
    <definedName name="Print_Area_MI">#REF!</definedName>
    <definedName name="_xlnm.Print_Titles" localSheetId="13">'O&amp;M Year 1 &amp;2'!$1:$4</definedName>
    <definedName name="_xlnm.Print_Titles" localSheetId="14">'O&amp;M Year 3 onwards'!$1:$4</definedName>
    <definedName name="PRINTMENU">#REF!</definedName>
    <definedName name="pro" localSheetId="10" hidden="1">#REF!</definedName>
    <definedName name="pro" hidden="1">#REF!</definedName>
    <definedName name="Process">'[14]Aeration'!$E$31</definedName>
    <definedName name="ProdBB">#REF!</definedName>
    <definedName name="ProdBBRet">#REF!</definedName>
    <definedName name="ProdBBTheo">#REF!</definedName>
    <definedName name="profitability1" localSheetId="10">#REF!</definedName>
    <definedName name="profitability1">#REF!</definedName>
    <definedName name="profitability2" localSheetId="10">#REF!</definedName>
    <definedName name="profitability2">#REF!</definedName>
    <definedName name="PROGRAMME_DE_DIMENSIONNEMENT">#REF!</definedName>
    <definedName name="Protection">#REF!</definedName>
    <definedName name="PRückläufekg">'[6]BALAN1'!$E$25</definedName>
    <definedName name="PTretour">#REF!</definedName>
    <definedName name="Pvorklkg">'[6]BALAN1'!$F$25</definedName>
    <definedName name="Pvorklmg">'[6]BALAN1'!$F$26</definedName>
    <definedName name="q">#REF!</definedName>
    <definedName name="Qa">#REF!</definedName>
    <definedName name="Qd">#REF!</definedName>
    <definedName name="QedAer">#REF!</definedName>
    <definedName name="QemAer">#REF!</definedName>
    <definedName name="QePpAer">#REF!</definedName>
    <definedName name="QePsAer">#REF!</definedName>
    <definedName name="QhPhoT3">#REF!</definedName>
    <definedName name="Qhretour">#REF!</definedName>
    <definedName name="Qj">#REF!</definedName>
    <definedName name="QjAer">#REF!</definedName>
    <definedName name="QjEB">#REF!</definedName>
    <definedName name="QjPhoT2">#REF!</definedName>
    <definedName name="QjPhoT3">#REF!</definedName>
    <definedName name="Qjretour">#REF!</definedName>
    <definedName name="QjTP">#REF!</definedName>
    <definedName name="Qm">#REF!</definedName>
    <definedName name="Qmaxvorkl">'[6]BALAN1'!$F$11</definedName>
    <definedName name="QmEB">#REF!</definedName>
    <definedName name="Qmittelvorkl">'[6]BALAN1'!$F$10</definedName>
    <definedName name="Qn">#REF!</definedName>
    <definedName name="Qp">#REF!</definedName>
    <definedName name="Qpa">#REF!</definedName>
    <definedName name="Qpm">#REF!</definedName>
    <definedName name="Qpp">#REF!</definedName>
    <definedName name="Qps">#REF!</definedName>
    <definedName name="QpsEB">#REF!</definedName>
    <definedName name="qq">#REF!</definedName>
    <definedName name="qqqq">#REF!</definedName>
    <definedName name="qqqqqqqqqqqqq">#REF!</definedName>
    <definedName name="QrezirkRegenw.">'[6]BALAN1'!$H$11</definedName>
    <definedName name="QrezirkTrockenw.">'[6]BALAN1'!$H$10</definedName>
    <definedName name="QRückläufe">'[6]BALAN1'!$E$10</definedName>
    <definedName name="QSchlamwasser_Dauer">'[6]BALAN1'!$E$54</definedName>
    <definedName name="Rb">#REF!</definedName>
    <definedName name="RE">#REF!</definedName>
    <definedName name="Reqh">#REF!</definedName>
    <definedName name="ReqhDBO">#REF!</definedName>
    <definedName name="ReqhMES">#REF!</definedName>
    <definedName name="ReqhNK">#REF!</definedName>
    <definedName name="ReqhPT">#REF!</definedName>
    <definedName name="ReqhQ">#REF!</definedName>
    <definedName name="ReqhTAC">#REF!</definedName>
    <definedName name="RETOURS">#REF!</definedName>
    <definedName name="RJdbo24h">#REF!</definedName>
    <definedName name="RJdco24h">#REF!</definedName>
    <definedName name="RJmes24h">#REF!</definedName>
    <definedName name="Rjmesm">#REF!</definedName>
    <definedName name="RJNGL24h">#REF!</definedName>
    <definedName name="RJNK24h">#REF!</definedName>
    <definedName name="RJNO3.24h">#REF!</definedName>
    <definedName name="RJPhoT">#REF!</definedName>
    <definedName name="Rk">#REF!</definedName>
    <definedName name="Rm">#REF!</definedName>
    <definedName name="Ro">'[15]#REF'!$B$113:$IV$113</definedName>
    <definedName name="RPh">#REF!</definedName>
    <definedName name="RPhoSprec1">#REF!</definedName>
    <definedName name="RPhoSprec2">#REF!</definedName>
    <definedName name="RPhoSprec3">#REF!</definedName>
    <definedName name="RPhoSprec3Al">#REF!</definedName>
    <definedName name="RPhoSprec3Fe">#REF!</definedName>
    <definedName name="RptMAlPT2">#REF!</definedName>
    <definedName name="RptMAlPT3">#REF!</definedName>
    <definedName name="RptMFePT1">#REF!</definedName>
    <definedName name="RptMFePT2">#REF!</definedName>
    <definedName name="RptMFePT3">#REF!</definedName>
    <definedName name="RptPAlPT2">#REF!</definedName>
    <definedName name="RptPFePT2">#REF!</definedName>
    <definedName name="Rs._in_Million" localSheetId="0">'Assumptions'!$B$3</definedName>
    <definedName name="RzaVba">#REF!</definedName>
    <definedName name="S" localSheetId="12">#REF!</definedName>
    <definedName name="S">#REF!</definedName>
    <definedName name="Sa">#REF!</definedName>
    <definedName name="Sal">#REF!</definedName>
    <definedName name="sanjay">#REF!</definedName>
    <definedName name="sanjaythute">#REF!</definedName>
    <definedName name="satz1" localSheetId="12">#REF!</definedName>
    <definedName name="satz1">'[16](10) Other Costs5'!#REF!</definedName>
    <definedName name="satz2" localSheetId="12">#REF!</definedName>
    <definedName name="satz2">'[16](10) Other Costs5'!#REF!</definedName>
    <definedName name="scfb">#REF!</definedName>
    <definedName name="SCHEDULE">#REF!</definedName>
    <definedName name="scl" localSheetId="12">#REF!</definedName>
    <definedName name="scl">#REF!</definedName>
    <definedName name="scld">#REF!</definedName>
    <definedName name="scw" localSheetId="12">#REF!</definedName>
    <definedName name="scw">#REF!</definedName>
    <definedName name="sd" localSheetId="12">#REF!</definedName>
    <definedName name="SD">#REF!</definedName>
    <definedName name="sdfe" localSheetId="12">#REF!</definedName>
    <definedName name="sdfe">#REF!</definedName>
    <definedName name="se" localSheetId="12">#REF!</definedName>
    <definedName name="se">#REF!</definedName>
    <definedName name="SEK">#REF!</definedName>
    <definedName name="SelectColActiv">#REF!</definedName>
    <definedName name="SF">#REF!</definedName>
    <definedName name="Sfm">#REF!</definedName>
    <definedName name="Sfp">#REF!</definedName>
    <definedName name="SfTP">#REF!</definedName>
    <definedName name="sg" localSheetId="12">#REF!</definedName>
    <definedName name="sg">#REF!</definedName>
    <definedName name="sheet" localSheetId="12">'[17]Legal Risk Analysis'!#REF!</definedName>
    <definedName name="sheet">'[17]Legal Risk Analysis'!#REF!</definedName>
    <definedName name="SHEET1" localSheetId="12">'[18]Legal Risk Analysis'!#REF!</definedName>
    <definedName name="SHEET1">'[18]Legal Risk Analysis'!#REF!</definedName>
    <definedName name="SL">#REF!</definedName>
    <definedName name="SLp">#REF!</definedName>
    <definedName name="SOLUB_O2">#REF!</definedName>
    <definedName name="Sp">#REF!</definedName>
    <definedName name="spares" localSheetId="12">#REF!</definedName>
    <definedName name="spares">#REF!</definedName>
    <definedName name="Spülfreqenz_Filter" localSheetId="12">'[6]BALAN1'!#REF!</definedName>
    <definedName name="Spülfreqenz_Filter">'[6]BALAN1'!#REF!</definedName>
    <definedName name="SS_Reinigung_in_BiopurC" localSheetId="12">'[6]BALAN1'!#REF!</definedName>
    <definedName name="SS_Reinigung_in_BiopurC">'[6]BALAN1'!#REF!</definedName>
    <definedName name="SS_reinigung_in_BiopurN" localSheetId="12">'[6]BALAN1'!#REF!</definedName>
    <definedName name="SS_reinigung_in_BiopurN">'[6]BALAN1'!#REF!</definedName>
    <definedName name="SS_Reinigung_in_Filter" localSheetId="12">'[6]BALAN1'!#REF!</definedName>
    <definedName name="SS_Reinigung_in_Filter">'[6]BALAN1'!#REF!</definedName>
    <definedName name="SSp">'[1]Sump'!$G$12</definedName>
    <definedName name="SSRückläufekg">'[6]BALAN1'!$E$13</definedName>
    <definedName name="sss" localSheetId="12">#REF!</definedName>
    <definedName name="sss">#REF!</definedName>
    <definedName name="SSvorklkg">'[6]BALAN1'!$F$13</definedName>
    <definedName name="SSvorklmg">'[6]BALAN1'!$F$14</definedName>
    <definedName name="st">#REF!</definedName>
    <definedName name="stp">#REF!</definedName>
    <definedName name="Streitwert" localSheetId="12">'[19]Rechtsrisikoanalyse'!#REF!</definedName>
    <definedName name="Streitwert">'[7]Legal Risk Analysis'!#REF!</definedName>
    <definedName name="studext" localSheetId="12">#REF!</definedName>
    <definedName name="studext">#REF!</definedName>
    <definedName name="STUDEXT1">#REF!</definedName>
    <definedName name="SubstC">#REF!</definedName>
    <definedName name="sumrisk" localSheetId="12">#REF!</definedName>
    <definedName name="sumrisk">#REF!</definedName>
    <definedName name="SurfClfR">#REF!</definedName>
    <definedName name="SurfClfTheo">#REF!</definedName>
    <definedName name="Sv">#REF!</definedName>
    <definedName name="SWFR">#REF!</definedName>
    <definedName name="Sy" localSheetId="12">#REF!</definedName>
    <definedName name="Sy">#REF!</definedName>
    <definedName name="SYN">#REF!</definedName>
    <definedName name="t" localSheetId="12">#REF!</definedName>
    <definedName name="t">#REF!</definedName>
    <definedName name="TACeb">#REF!</definedName>
    <definedName name="TACep">#REF!</definedName>
    <definedName name="TACPol">#REF!</definedName>
    <definedName name="TaerEnd">#REF!</definedName>
    <definedName name="Taerj">#REF!</definedName>
    <definedName name="Tair">#REF!</definedName>
    <definedName name="TAlNa2Al2O4">#REF!</definedName>
    <definedName name="TanaerMoy">#REF!</definedName>
    <definedName name="TanaerRec">#REF!</definedName>
    <definedName name="TauxEu">'[20]O&amp;M Info'!$C$43</definedName>
    <definedName name="Tbassin">#REF!</definedName>
    <definedName name="Td">#REF!</definedName>
    <definedName name="TdboAssNO3">#REF!</definedName>
    <definedName name="Teff">#REF!</definedName>
    <definedName name="temp" localSheetId="12">#REF!</definedName>
    <definedName name="temp">#REF!</definedName>
    <definedName name="Temp._bassin">#REF!</definedName>
    <definedName name="TEST">#REF!</definedName>
    <definedName name="TFeCl3Fe">#REF!</definedName>
    <definedName name="TFeClSO4Fe">#REF!</definedName>
    <definedName name="TFeSO4Fe">#REF!</definedName>
    <definedName name="TITLE">#REF!</definedName>
    <definedName name="TITRE">'[5]Hydraulic'!#REF!</definedName>
    <definedName name="TLoAss">#REF!</definedName>
    <definedName name="TMV">#REF!</definedName>
    <definedName name="TMVa">#REF!</definedName>
    <definedName name="TMVaBBe">#REF!</definedName>
    <definedName name="TMVBBe">#REF!</definedName>
    <definedName name="TMVBDP">#REF!</definedName>
    <definedName name="TMVBterPTAl">#REF!</definedName>
    <definedName name="TMVBterPTFe">#REF!</definedName>
    <definedName name="TMVDPS">#REF!</definedName>
    <definedName name="TMVS">#REF!</definedName>
    <definedName name="TMVSaer">#REF!</definedName>
    <definedName name="TNKrej">#REF!</definedName>
    <definedName name="TNkres">#REF!</definedName>
    <definedName name="TNTKinrt">#REF!</definedName>
    <definedName name="TNTKsyn">#REF!</definedName>
    <definedName name="TO2Nit">#REF!</definedName>
    <definedName name="TotNvorklkg">'[6]BALAN1'!$F$17</definedName>
    <definedName name="TotNvorklmg">'[6]BALAN1'!$F$18</definedName>
    <definedName name="TOWNSHIPS_CTYPES">#REF!</definedName>
    <definedName name="TOWNSHIPS_LUSES">#REF!</definedName>
    <definedName name="Tp">#REF!</definedName>
    <definedName name="TphoS">#REF!</definedName>
    <definedName name="TphoS_DPS">#REF!</definedName>
    <definedName name="TphoS_EB">#REF!</definedName>
    <definedName name="TphoS_rej1">#REF!</definedName>
    <definedName name="TPhoSassim">#REF!</definedName>
    <definedName name="TPR" localSheetId="12">#REF!</definedName>
    <definedName name="TPR">#REF!</definedName>
    <definedName name="TPrBBe">#REF!</definedName>
    <definedName name="TQd">#REF!</definedName>
    <definedName name="TQn">#REF!</definedName>
    <definedName name="TQps">#REF!</definedName>
    <definedName name="TRecNO3R">#REF!</definedName>
    <definedName name="ts" localSheetId="12">#REF!</definedName>
    <definedName name="Ts">#REF!</definedName>
    <definedName name="TSd">#REF!</definedName>
    <definedName name="TSEnd">#REF!</definedName>
    <definedName name="TSEnd3zones">#REF!</definedName>
    <definedName name="TSEndChenal">#REF!</definedName>
    <definedName name="tsfb">#REF!</definedName>
    <definedName name="TshAer">'[2]Process Calc'!#REF!</definedName>
    <definedName name="tsl">#REF!</definedName>
    <definedName name="TSm">#REF!</definedName>
    <definedName name="TSpp">#REF!</definedName>
    <definedName name="TSps">#REF!</definedName>
    <definedName name="Tss">#REF!</definedName>
    <definedName name="tsswd">#REF!</definedName>
    <definedName name="TSubstCNO3">#REF!</definedName>
    <definedName name="tsw">#REF!</definedName>
    <definedName name="Tt">#REF!</definedName>
    <definedName name="Tv">#REF!</definedName>
    <definedName name="TxLMNO3">#REF!</definedName>
    <definedName name="TxLMNO3R">#REF!</definedName>
    <definedName name="TXRec">#REF!</definedName>
    <definedName name="TXRECMini">#REF!</definedName>
    <definedName name="TXRecTh">#REF!</definedName>
    <definedName name="Typ">#REF!</definedName>
    <definedName name="TypCH">#REF!</definedName>
    <definedName name="TypeDP">'[8]Calculation'!#REF!</definedName>
    <definedName name="UDmoy">'[8]Calculation'!#REF!</definedName>
    <definedName name="UP_BOUE">#REF!</definedName>
    <definedName name="UP_DEPHOSBIO">#REF!</definedName>
    <definedName name="UP_DEPHOSTER">#REF!</definedName>
    <definedName name="UP_ELIM_DBO">#REF!</definedName>
    <definedName name="UP_O2">#REF!</definedName>
    <definedName name="UP_RECIR_B">#REF!</definedName>
    <definedName name="UP_RETOURS">#REF!</definedName>
    <definedName name="UP_SUBST_C">#REF!</definedName>
    <definedName name="USD" localSheetId="12">#REF!</definedName>
    <definedName name="USD">#REF!</definedName>
    <definedName name="v">#REF!</definedName>
    <definedName name="Va">#REF!</definedName>
    <definedName name="Vaer">#REF!</definedName>
    <definedName name="Vaér">'[4]Récapitulatif'!#REF!</definedName>
    <definedName name="VaerTh">#REF!</definedName>
    <definedName name="val">#REF!</definedName>
    <definedName name="Vanaero">#REF!</definedName>
    <definedName name="VanaeroTh">#REF!</definedName>
    <definedName name="Vanoxdbo">#REF!</definedName>
    <definedName name="VanoxMax">#REF!</definedName>
    <definedName name="VanoxR">#REF!</definedName>
    <definedName name="VanoxTh">#REF!</definedName>
    <definedName name="VAR">#REF!</definedName>
    <definedName name="Vasc">'[8]Calculation'!#REF!</definedName>
    <definedName name="VascMax">#REF!</definedName>
    <definedName name="Vascth">#REF!</definedName>
    <definedName name="Vastrict">'[4]Récapitulatif'!#REF!</definedName>
    <definedName name="VBioT">#REF!</definedName>
    <definedName name="VCboue">#REF!</definedName>
    <definedName name="Vd">#REF!</definedName>
    <definedName name="Veau">#REF!</definedName>
    <definedName name="VEL">#REF!</definedName>
    <definedName name="Vend3zones">#REF!</definedName>
    <definedName name="VEndaere">#REF!</definedName>
    <definedName name="VendMini24h">#REF!</definedName>
    <definedName name="Vendstrict">#REF!</definedName>
    <definedName name="Vers">'[5]Hydraulic'!#REF!</definedName>
    <definedName name="Vf">#REF!</definedName>
    <definedName name="VitdeNit">#REF!</definedName>
    <definedName name="VitNO3End">#REF!</definedName>
    <definedName name="VitNO3Nit">#REF!</definedName>
    <definedName name="VL">#REF!</definedName>
    <definedName name="VNitMini">#REF!</definedName>
    <definedName name="VNitth">#REF!</definedName>
    <definedName name="VolClfR">#REF!</definedName>
    <definedName name="Vp">#REF!</definedName>
    <definedName name="Vr">'[21]Digestion'!$E$45</definedName>
    <definedName name="Vrec">#REF!</definedName>
    <definedName name="VrecMini">#REF!</definedName>
    <definedName name="vsm">'[22]Dsgn_Crt'!$I$50</definedName>
    <definedName name="Vz" localSheetId="12">#REF!</definedName>
    <definedName name="Vz">#REF!</definedName>
    <definedName name="WATER_NODE_ZONES">#REF!</definedName>
    <definedName name="wbag">#REF!</definedName>
    <definedName name="www" localSheetId="12">#REF!</definedName>
    <definedName name="www">#REF!</definedName>
    <definedName name="X_CQuelleBiopurC">'[6]BALAN1'!$I$27</definedName>
    <definedName name="XChBIO">#REF!</definedName>
    <definedName name="XChPRIM">#REF!</definedName>
    <definedName name="xx">#REF!</definedName>
    <definedName name="YEN">#REF!</definedName>
    <definedName name="ys" localSheetId="12">#REF!</definedName>
    <definedName name="ys">#REF!</definedName>
    <definedName name="yy">#REF!</definedName>
    <definedName name="Z_CONTACT">#REF!</definedName>
    <definedName name="Zaér">'[4]Récapitulatif'!#REF!</definedName>
    <definedName name="Zins_Garantee" localSheetId="12">#REF!</definedName>
    <definedName name="Zins_Garantee">#REF!</definedName>
    <definedName name="Zins_Monat" localSheetId="12">#REF!</definedName>
    <definedName name="Zins_Monat">#REF!</definedName>
    <definedName name="Zinz_ÖKB" localSheetId="12">#REF!</definedName>
    <definedName name="Zinz_ÖKB">#REF!</definedName>
    <definedName name="ZONE_3ZONES">#REF!,#REF!,#REF!</definedName>
    <definedName name="ZONE_ANOXIE">#REF!,#REF!</definedName>
    <definedName name="ZONE_CHENAL">#REF!</definedName>
    <definedName name="ZONE_CONTACT">#REF!</definedName>
    <definedName name="Zone_DECPRIM">#REF!</definedName>
    <definedName name="ZONE_ENDOGENE">#REF!</definedName>
    <definedName name="ZONE_PHYSICO">#REF!</definedName>
    <definedName name="ZONE_SIMULT_ALU">#REF!</definedName>
    <definedName name="ZONE_SIMULT_FER">#REF!</definedName>
    <definedName name="ZONE_TERT_ALU">#REF!</definedName>
    <definedName name="ZONE_TERT_FER">#REF!</definedName>
    <definedName name="ZONES">#REF!</definedName>
  </definedNames>
  <calcPr calcMode="autoNoTable" fullCalcOnLoad="1" iterate="1" iterateCount="100" iterateDelta="0.001"/>
</workbook>
</file>

<file path=xl/comments1.xml><?xml version="1.0" encoding="utf-8"?>
<comments xmlns="http://schemas.openxmlformats.org/spreadsheetml/2006/main">
  <authors>
    <author>Pankajtatia</author>
  </authors>
  <commentList>
    <comment ref="H163" authorId="0">
      <text>
        <r>
          <rPr>
            <b/>
            <sz val="9"/>
            <rFont val="Tahoma"/>
            <family val="2"/>
          </rPr>
          <t>Pankajtatia:</t>
        </r>
        <r>
          <rPr>
            <sz val="9"/>
            <rFont val="Tahoma"/>
            <family val="2"/>
          </rPr>
          <t xml:space="preserve">
Included in VA tech cost for managing 190 MLD WTP plant</t>
        </r>
      </text>
    </comment>
    <comment ref="I163" authorId="0">
      <text>
        <r>
          <rPr>
            <b/>
            <sz val="9"/>
            <rFont val="Tahoma"/>
            <family val="2"/>
          </rPr>
          <t>Pankajtatia:</t>
        </r>
        <r>
          <rPr>
            <sz val="9"/>
            <rFont val="Tahoma"/>
            <family val="2"/>
          </rPr>
          <t xml:space="preserve">
Included in VA tech cost for managing 190 MLD WTP plant</t>
        </r>
      </text>
    </comment>
    <comment ref="J163" authorId="0">
      <text>
        <r>
          <rPr>
            <b/>
            <sz val="9"/>
            <rFont val="Tahoma"/>
            <family val="2"/>
          </rPr>
          <t>Pankajtatia:</t>
        </r>
        <r>
          <rPr>
            <sz val="9"/>
            <rFont val="Tahoma"/>
            <family val="2"/>
          </rPr>
          <t xml:space="preserve">
Included in VA tech cost for managing 190 MLD WTP plant</t>
        </r>
      </text>
    </comment>
    <comment ref="K163" authorId="0">
      <text>
        <r>
          <rPr>
            <b/>
            <sz val="9"/>
            <rFont val="Tahoma"/>
            <family val="2"/>
          </rPr>
          <t>Pankajtatia:</t>
        </r>
        <r>
          <rPr>
            <sz val="9"/>
            <rFont val="Tahoma"/>
            <family val="2"/>
          </rPr>
          <t xml:space="preserve">
Included in VA tech cost for managing 190 MLD WTP plant</t>
        </r>
      </text>
    </comment>
    <comment ref="L163" authorId="0">
      <text>
        <r>
          <rPr>
            <b/>
            <sz val="9"/>
            <rFont val="Tahoma"/>
            <family val="2"/>
          </rPr>
          <t>Pankajtatia:</t>
        </r>
        <r>
          <rPr>
            <sz val="9"/>
            <rFont val="Tahoma"/>
            <family val="2"/>
          </rPr>
          <t xml:space="preserve">
Included in VA tech cost for managing 190 MLD WTP plant</t>
        </r>
      </text>
    </comment>
    <comment ref="M163" authorId="0">
      <text>
        <r>
          <rPr>
            <b/>
            <sz val="9"/>
            <rFont val="Tahoma"/>
            <family val="2"/>
          </rPr>
          <t>Pankajtatia:</t>
        </r>
        <r>
          <rPr>
            <sz val="9"/>
            <rFont val="Tahoma"/>
            <family val="2"/>
          </rPr>
          <t xml:space="preserve">
Included in VA tech cost for managing 190 MLD WTP plant</t>
        </r>
      </text>
    </comment>
    <comment ref="N163" authorId="0">
      <text>
        <r>
          <rPr>
            <b/>
            <sz val="9"/>
            <rFont val="Tahoma"/>
            <family val="2"/>
          </rPr>
          <t>Pankajtatia:</t>
        </r>
        <r>
          <rPr>
            <sz val="9"/>
            <rFont val="Tahoma"/>
            <family val="2"/>
          </rPr>
          <t xml:space="preserve">
Included in VA tech cost for managing 190 MLD WTP plant</t>
        </r>
      </text>
    </comment>
    <comment ref="O163" authorId="0">
      <text>
        <r>
          <rPr>
            <b/>
            <sz val="9"/>
            <rFont val="Tahoma"/>
            <family val="2"/>
          </rPr>
          <t>Pankajtatia:</t>
        </r>
        <r>
          <rPr>
            <sz val="9"/>
            <rFont val="Tahoma"/>
            <family val="2"/>
          </rPr>
          <t xml:space="preserve">
Included in VA tech cost for managing 190 MLD WTP plant</t>
        </r>
      </text>
    </comment>
    <comment ref="P163" authorId="0">
      <text>
        <r>
          <rPr>
            <b/>
            <sz val="9"/>
            <rFont val="Tahoma"/>
            <family val="2"/>
          </rPr>
          <t>Pankajtatia:</t>
        </r>
        <r>
          <rPr>
            <sz val="9"/>
            <rFont val="Tahoma"/>
            <family val="2"/>
          </rPr>
          <t xml:space="preserve">
Included in VA tech cost for managing 190 MLD WTP plant</t>
        </r>
      </text>
    </comment>
    <comment ref="Q163" authorId="0">
      <text>
        <r>
          <rPr>
            <b/>
            <sz val="9"/>
            <rFont val="Tahoma"/>
            <family val="2"/>
          </rPr>
          <t>Pankajtatia:</t>
        </r>
        <r>
          <rPr>
            <sz val="9"/>
            <rFont val="Tahoma"/>
            <family val="2"/>
          </rPr>
          <t xml:space="preserve">
Included in VA tech cost for managing 190 MLD WTP plant</t>
        </r>
      </text>
    </comment>
    <comment ref="R163" authorId="0">
      <text>
        <r>
          <rPr>
            <b/>
            <sz val="9"/>
            <rFont val="Tahoma"/>
            <family val="2"/>
          </rPr>
          <t>Pankajtatia:</t>
        </r>
        <r>
          <rPr>
            <sz val="9"/>
            <rFont val="Tahoma"/>
            <family val="2"/>
          </rPr>
          <t xml:space="preserve">
Included in VA tech cost for managing 190 MLD WTP plant</t>
        </r>
      </text>
    </comment>
    <comment ref="S163" authorId="0">
      <text>
        <r>
          <rPr>
            <b/>
            <sz val="9"/>
            <rFont val="Tahoma"/>
            <family val="2"/>
          </rPr>
          <t>Pankajtatia:</t>
        </r>
        <r>
          <rPr>
            <sz val="9"/>
            <rFont val="Tahoma"/>
            <family val="2"/>
          </rPr>
          <t xml:space="preserve">
Included in VA tech cost for managing 190 MLD WTP plant</t>
        </r>
      </text>
    </comment>
    <comment ref="T163" authorId="0">
      <text>
        <r>
          <rPr>
            <b/>
            <sz val="9"/>
            <rFont val="Tahoma"/>
            <family val="2"/>
          </rPr>
          <t>Pankajtatia:</t>
        </r>
        <r>
          <rPr>
            <sz val="9"/>
            <rFont val="Tahoma"/>
            <family val="2"/>
          </rPr>
          <t xml:space="preserve">
Included in VA tech cost for managing 190 MLD WTP plant</t>
        </r>
      </text>
    </comment>
    <comment ref="U163" authorId="0">
      <text>
        <r>
          <rPr>
            <b/>
            <sz val="9"/>
            <rFont val="Tahoma"/>
            <family val="2"/>
          </rPr>
          <t>Pankajtatia:</t>
        </r>
        <r>
          <rPr>
            <sz val="9"/>
            <rFont val="Tahoma"/>
            <family val="2"/>
          </rPr>
          <t xml:space="preserve">
Included in VA tech cost for managing 190 MLD WTP plant</t>
        </r>
      </text>
    </comment>
    <comment ref="V163" authorId="0">
      <text>
        <r>
          <rPr>
            <b/>
            <sz val="9"/>
            <rFont val="Tahoma"/>
            <family val="2"/>
          </rPr>
          <t>Pankajtatia:</t>
        </r>
        <r>
          <rPr>
            <sz val="9"/>
            <rFont val="Tahoma"/>
            <family val="2"/>
          </rPr>
          <t xml:space="preserve">
Included in VA tech cost for managing 190 MLD WTP plant</t>
        </r>
      </text>
    </comment>
    <comment ref="W163" authorId="0">
      <text>
        <r>
          <rPr>
            <b/>
            <sz val="9"/>
            <rFont val="Tahoma"/>
            <family val="2"/>
          </rPr>
          <t>Pankajtatia:</t>
        </r>
        <r>
          <rPr>
            <sz val="9"/>
            <rFont val="Tahoma"/>
            <family val="2"/>
          </rPr>
          <t xml:space="preserve">
Included in VA tech cost for managing 190 MLD WTP plant</t>
        </r>
      </text>
    </comment>
    <comment ref="X163" authorId="0">
      <text>
        <r>
          <rPr>
            <b/>
            <sz val="9"/>
            <rFont val="Tahoma"/>
            <family val="2"/>
          </rPr>
          <t>Pankajtatia:</t>
        </r>
        <r>
          <rPr>
            <sz val="9"/>
            <rFont val="Tahoma"/>
            <family val="2"/>
          </rPr>
          <t xml:space="preserve">
Included in VA tech cost for managing 190 MLD WTP plant</t>
        </r>
      </text>
    </comment>
  </commentList>
</comments>
</file>

<file path=xl/comments5.xml><?xml version="1.0" encoding="utf-8"?>
<comments xmlns="http://schemas.openxmlformats.org/spreadsheetml/2006/main">
  <authors>
    <author>vajab216</author>
  </authors>
  <commentList>
    <comment ref="P32" authorId="0">
      <text>
        <r>
          <rPr>
            <b/>
            <sz val="8"/>
            <rFont val="Tahoma"/>
            <family val="2"/>
          </rPr>
          <t>vajab216:</t>
        </r>
        <r>
          <rPr>
            <sz val="8"/>
            <rFont val="Tahoma"/>
            <family val="2"/>
          </rPr>
          <t xml:space="preserve">
End of 80-IA deduction period, tax payable at normal rate instead of MAT rate</t>
        </r>
      </text>
    </comment>
  </commentList>
</comments>
</file>

<file path=xl/sharedStrings.xml><?xml version="1.0" encoding="utf-8"?>
<sst xmlns="http://schemas.openxmlformats.org/spreadsheetml/2006/main" count="8853" uniqueCount="473">
  <si>
    <t>Year ending March 31</t>
  </si>
  <si>
    <t>Year of concession</t>
  </si>
  <si>
    <t>Project Capital Cost Assumptions</t>
  </si>
  <si>
    <t>Civil</t>
  </si>
  <si>
    <t>Equipment</t>
  </si>
  <si>
    <t>IDC @Interest rate of 12.5%</t>
  </si>
  <si>
    <t>O&amp;M Expenses</t>
  </si>
  <si>
    <t>Other Assumptions</t>
  </si>
  <si>
    <t>Depreciation Rates- IT Act</t>
  </si>
  <si>
    <t>P&amp;M</t>
  </si>
  <si>
    <t>Depreciation Rates- Companies Act</t>
  </si>
  <si>
    <t>P&amp;M and Civil</t>
  </si>
  <si>
    <t>MAT</t>
  </si>
  <si>
    <t>Income Tax</t>
  </si>
  <si>
    <t>Means of Finance</t>
  </si>
  <si>
    <t>Equity</t>
  </si>
  <si>
    <t>Debt</t>
  </si>
  <si>
    <t>Total</t>
  </si>
  <si>
    <t>Debt Repayment Assumptions</t>
  </si>
  <si>
    <t>Loan Tenure (in years)</t>
  </si>
  <si>
    <t>Construction period</t>
  </si>
  <si>
    <t>Repayment period</t>
  </si>
  <si>
    <t>Interest Rate</t>
  </si>
  <si>
    <t>Working Capital Assumptions</t>
  </si>
  <si>
    <t>Receivables (in months)</t>
  </si>
  <si>
    <t>Payables (in months)</t>
  </si>
  <si>
    <t>Computation of Revenue</t>
  </si>
  <si>
    <t>Total Revenue</t>
  </si>
  <si>
    <t>Income Statement</t>
  </si>
  <si>
    <t>Depreciation</t>
  </si>
  <si>
    <t>PBIT</t>
  </si>
  <si>
    <t>Interest on Term Loan</t>
  </si>
  <si>
    <t>Interest on Working Capital</t>
  </si>
  <si>
    <t>Total Interest Expense</t>
  </si>
  <si>
    <t>PBT</t>
  </si>
  <si>
    <t>Tax Payable</t>
  </si>
  <si>
    <t>Profit After Tax (PAT)</t>
  </si>
  <si>
    <t>PAT margin</t>
  </si>
  <si>
    <t>Balance Sheet Statement</t>
  </si>
  <si>
    <t>Liabilities</t>
  </si>
  <si>
    <t>Promoters equity</t>
  </si>
  <si>
    <t>Reserves / retained earnings (balance from P&amp;L)</t>
  </si>
  <si>
    <t>Net Worth</t>
  </si>
  <si>
    <t>Current liabilities &amp; provisions:</t>
  </si>
  <si>
    <t>Sundry Creditors for goods &amp; expenses</t>
  </si>
  <si>
    <t>Working Capital Borrowing</t>
  </si>
  <si>
    <t>Assets</t>
  </si>
  <si>
    <t>Fixed assets</t>
  </si>
  <si>
    <t>Depreciation (cumulative)</t>
  </si>
  <si>
    <t>Net Fixed assets</t>
  </si>
  <si>
    <t>Current assets:</t>
  </si>
  <si>
    <t>Receivables</t>
  </si>
  <si>
    <t>Cash &amp; bank balances</t>
  </si>
  <si>
    <t>Check</t>
  </si>
  <si>
    <t>Cash Flow Statement</t>
  </si>
  <si>
    <t>Inflow</t>
  </si>
  <si>
    <t>PAT (Profit after tax)</t>
  </si>
  <si>
    <t>Increase in equity</t>
  </si>
  <si>
    <t>Increase in Debt</t>
  </si>
  <si>
    <t xml:space="preserve">Depreciation provision for the year </t>
  </si>
  <si>
    <t>Increase in Working Capital Borrowing</t>
  </si>
  <si>
    <t>Increase in Current liability</t>
  </si>
  <si>
    <t>Total Inflow</t>
  </si>
  <si>
    <t>Outflow</t>
  </si>
  <si>
    <t>Capital Expenditure (CE)</t>
  </si>
  <si>
    <t>Repayment of Debt</t>
  </si>
  <si>
    <t>Increase in Current Assets</t>
  </si>
  <si>
    <t>Total Outflow</t>
  </si>
  <si>
    <t>Cash flow</t>
  </si>
  <si>
    <t>Opening Balance</t>
  </si>
  <si>
    <t>Surplus (+ve)/Deficit (-ve)</t>
  </si>
  <si>
    <t>Closing Cash Balance</t>
  </si>
  <si>
    <t>EBITDA</t>
  </si>
  <si>
    <t>Less: Capex</t>
  </si>
  <si>
    <t>Add/(Less): Change in WC</t>
  </si>
  <si>
    <t>Less: Tax paid</t>
  </si>
  <si>
    <t>Free Cash Flow to Firm</t>
  </si>
  <si>
    <t>Less: Debt Raised/(Repayment)</t>
  </si>
  <si>
    <t>Free Cash Flow to Equity</t>
  </si>
  <si>
    <t>Project IRR</t>
  </si>
  <si>
    <t>Equity IRR</t>
  </si>
  <si>
    <t>Computation of Depreciation</t>
  </si>
  <si>
    <t>Financing Costs(inc IDC on term loan)</t>
  </si>
  <si>
    <t>Apportioned between</t>
  </si>
  <si>
    <t xml:space="preserve">Civil </t>
  </si>
  <si>
    <t>Depreciation- Companies Act</t>
  </si>
  <si>
    <t>Additions</t>
  </si>
  <si>
    <t>Deletions</t>
  </si>
  <si>
    <t>Closing Balance</t>
  </si>
  <si>
    <t>Accumulated Depreciation</t>
  </si>
  <si>
    <t>Net Block</t>
  </si>
  <si>
    <t>Opening</t>
  </si>
  <si>
    <t>Closing</t>
  </si>
  <si>
    <t>Depreciation- Income Tax Act</t>
  </si>
  <si>
    <t>Overall</t>
  </si>
  <si>
    <t>Opening Debt</t>
  </si>
  <si>
    <t>Closing Debt</t>
  </si>
  <si>
    <t>Interest Payment on Total Debt</t>
  </si>
  <si>
    <t>Working Capital</t>
  </si>
  <si>
    <t>Receivables-CA</t>
  </si>
  <si>
    <t>Payables- CL</t>
  </si>
  <si>
    <t>NCA</t>
  </si>
  <si>
    <t>Margin</t>
  </si>
  <si>
    <t>MPBF</t>
  </si>
  <si>
    <t>Interest</t>
  </si>
  <si>
    <t>Tax Schedule</t>
  </si>
  <si>
    <t>Applicable Tax Rate</t>
  </si>
  <si>
    <t>No. of working days in a year</t>
  </si>
  <si>
    <t>Income Tax &amp; MAT Rate</t>
  </si>
  <si>
    <t>Term Loan Repayment Schedule</t>
  </si>
  <si>
    <t>Promoter's Margin</t>
  </si>
  <si>
    <t>Internal Rate of Return (IRR) Calculation</t>
  </si>
  <si>
    <t>Debt Service Coverage Ratio (DSCR) Calculation</t>
  </si>
  <si>
    <t>Profit After Tax</t>
  </si>
  <si>
    <t>Installment of Term Loan</t>
  </si>
  <si>
    <t>Debt Service Coverage Ratio</t>
  </si>
  <si>
    <t>Overall DSCR</t>
  </si>
  <si>
    <t>Debt Equity Ratio</t>
  </si>
  <si>
    <t>Means of Finance Assumptions</t>
  </si>
  <si>
    <t>Add: SLM Depreciation</t>
  </si>
  <si>
    <t>PBDT</t>
  </si>
  <si>
    <t>Less: Tax Depreciation</t>
  </si>
  <si>
    <t>Taxable Profit/Loss(-) before c/f loss setoff</t>
  </si>
  <si>
    <t>C/F  Loss Setoff</t>
  </si>
  <si>
    <t>Taxable Profit/Loss(-) after c/f loss setoff</t>
  </si>
  <si>
    <t xml:space="preserve">Tax Payment </t>
  </si>
  <si>
    <t>MAT Credit Accumulated</t>
  </si>
  <si>
    <t>MAT Credit Available</t>
  </si>
  <si>
    <t>MAT Credit Taken</t>
  </si>
  <si>
    <t>Tax Payment Projections incl. MAT</t>
  </si>
  <si>
    <t>Calculation of Carry forward Loss</t>
  </si>
  <si>
    <t>Op Balance b/f</t>
  </si>
  <si>
    <t>Loss Before Setoff</t>
  </si>
  <si>
    <t>Carry Forward Loss Setoff</t>
  </si>
  <si>
    <t>Closing Balance c/f</t>
  </si>
  <si>
    <t>80 IA</t>
  </si>
  <si>
    <t>Rs. in Crores</t>
  </si>
  <si>
    <t>Conversion Factor</t>
  </si>
  <si>
    <t>Gross Fixed assets</t>
  </si>
  <si>
    <t>Time Schedule Assumptions</t>
  </si>
  <si>
    <t>Date of Signing of Agreement</t>
  </si>
  <si>
    <t>Start of Project Implementation</t>
  </si>
  <si>
    <t>End of Project Implementation</t>
  </si>
  <si>
    <t>Start Date of Commercial Operation</t>
  </si>
  <si>
    <t>Concession Period ending date</t>
  </si>
  <si>
    <t>Construction Period</t>
  </si>
  <si>
    <t>Working Capital Margin</t>
  </si>
  <si>
    <t>Revenue from Operations</t>
  </si>
  <si>
    <t>O&amp;M Expenditure</t>
  </si>
  <si>
    <t>Total O&amp;M Expenditure</t>
  </si>
  <si>
    <t>Qtr - 1</t>
  </si>
  <si>
    <t>Qtr - 2</t>
  </si>
  <si>
    <t>Qtr - 3</t>
  </si>
  <si>
    <t>Qtr - 4</t>
  </si>
  <si>
    <t>Operating Profit (PBDIT)</t>
  </si>
  <si>
    <t>PBDIT margin</t>
  </si>
  <si>
    <t>TOTAL</t>
  </si>
  <si>
    <t>Quarter</t>
  </si>
  <si>
    <t>Add: 
Debt Received</t>
  </si>
  <si>
    <t>Less: 
Debt Repaid</t>
  </si>
  <si>
    <t>AURANGABAD WATER SUPPLY PROJECT</t>
  </si>
  <si>
    <t>No. of Connections</t>
  </si>
  <si>
    <t>Population (lakhs)</t>
  </si>
  <si>
    <t>Household Consumers Consumption</t>
  </si>
  <si>
    <t>Non-household Consumers Consumption</t>
  </si>
  <si>
    <t>Preparatory Period</t>
  </si>
  <si>
    <t>Concession Period starting from Project Implementation Date</t>
  </si>
  <si>
    <t>0-8 KL</t>
  </si>
  <si>
    <t>8-17 KL</t>
  </si>
  <si>
    <t>17-23 KL</t>
  </si>
  <si>
    <t>Above 23 KL</t>
  </si>
  <si>
    <t>Household Consumption (KL/connection/month)</t>
  </si>
  <si>
    <t>Flat Volumetric Rate (Rs./KL)</t>
  </si>
  <si>
    <t>Revenue from Household Consumption</t>
  </si>
  <si>
    <t>Flat Volumetric Rate</t>
  </si>
  <si>
    <t>Total Billed Revenue</t>
  </si>
  <si>
    <t>Water Charges for Household Consumers (Rs/annum)</t>
  </si>
  <si>
    <t>Pipe Diameter</t>
  </si>
  <si>
    <t>1/2 inch</t>
  </si>
  <si>
    <t>3/4 inch</t>
  </si>
  <si>
    <t>1 inch</t>
  </si>
  <si>
    <t>1.5 inch</t>
  </si>
  <si>
    <t>2 inch</t>
  </si>
  <si>
    <t>3 inch</t>
  </si>
  <si>
    <t>4 inch</t>
  </si>
  <si>
    <t>6 inch</t>
  </si>
  <si>
    <t>8 inch</t>
  </si>
  <si>
    <t>Water Charges from 3rd year onwards (Rs./KL)</t>
  </si>
  <si>
    <t>Water Charges for Commercial Consumers (Rs/annum)</t>
  </si>
  <si>
    <t>Commercial Consumption (KL/connection/month)</t>
  </si>
  <si>
    <t>Revenue for first 3 yrs</t>
  </si>
  <si>
    <t>Revenue from Commercial Consumption</t>
  </si>
  <si>
    <t>Plant &amp; MachineryEquipment</t>
  </si>
  <si>
    <t>Revenue Assumptions (INR/tonne)</t>
  </si>
  <si>
    <t>Total meters to be installed</t>
  </si>
  <si>
    <t>Volume assumptions</t>
  </si>
  <si>
    <t>Cost Assumptions</t>
  </si>
  <si>
    <t>Cost and installation of meters</t>
  </si>
  <si>
    <t>Revenues from Installation of meters</t>
  </si>
  <si>
    <t>Revenues Water Tankers</t>
  </si>
  <si>
    <t>Total Water Supplied (Volume Yearly)</t>
  </si>
  <si>
    <t>Total Cost to be Charged</t>
  </si>
  <si>
    <t>Total Revenue from water billing</t>
  </si>
  <si>
    <t>Total Revenue from Metering</t>
  </si>
  <si>
    <t>Total Revenue from water tankers</t>
  </si>
  <si>
    <t>Total Revenues</t>
  </si>
  <si>
    <t>Total O&amp;M Cost</t>
  </si>
  <si>
    <t>Collection Targets</t>
  </si>
  <si>
    <t>Water Billed</t>
  </si>
  <si>
    <t>Grand Total</t>
  </si>
  <si>
    <t>MT</t>
  </si>
  <si>
    <t xml:space="preserve">Total </t>
  </si>
  <si>
    <t>Rs</t>
  </si>
  <si>
    <t>B</t>
  </si>
  <si>
    <t>D</t>
  </si>
  <si>
    <t>Description</t>
  </si>
  <si>
    <t>Polulation existing</t>
  </si>
  <si>
    <t>Average Water demand (LPCD)</t>
  </si>
  <si>
    <t>No. of people in the family</t>
  </si>
  <si>
    <t>Connection Break up</t>
  </si>
  <si>
    <t>Domestic</t>
  </si>
  <si>
    <t>Commercial</t>
  </si>
  <si>
    <t>Water to be made available</t>
  </si>
  <si>
    <t>Polulation (In Rs. Lacs)</t>
  </si>
  <si>
    <t>Water to me made available as per population (MLD)</t>
  </si>
  <si>
    <t>Add NRW &amp; Transmission Distribution Losses</t>
  </si>
  <si>
    <t>O&amp; M Expenses</t>
  </si>
  <si>
    <t>Units</t>
  </si>
  <si>
    <t>Energy</t>
  </si>
  <si>
    <t>Chemical</t>
  </si>
  <si>
    <t>Raw Water</t>
  </si>
  <si>
    <t>Tankers</t>
  </si>
  <si>
    <t>Interventions</t>
  </si>
  <si>
    <t>Means</t>
  </si>
  <si>
    <t>Personnel</t>
  </si>
  <si>
    <t>MISCELLANEOUS (Insurances,...)</t>
  </si>
  <si>
    <t>Service Tax and VAT (10.3%)</t>
  </si>
  <si>
    <t>% increase</t>
  </si>
  <si>
    <t>CONTINGENCIES (2%)</t>
  </si>
  <si>
    <t>Total O&amp;M Cost - SPML</t>
  </si>
  <si>
    <t>MAT Credit Lapse Year</t>
  </si>
  <si>
    <t>MAT Credit Lapsed</t>
  </si>
  <si>
    <t>MAT Credit Closing Balance</t>
  </si>
  <si>
    <t>Less: Interest Paid</t>
  </si>
  <si>
    <t>% Civil Cost</t>
  </si>
  <si>
    <t>% Machinery Cost</t>
  </si>
  <si>
    <t>Year wise % cost break up</t>
  </si>
  <si>
    <t>Year 1</t>
  </si>
  <si>
    <t>Year 2</t>
  </si>
  <si>
    <t>Year 3</t>
  </si>
  <si>
    <t>OPERATION &amp; MAINTENANCE</t>
  </si>
  <si>
    <t>A</t>
  </si>
  <si>
    <t>C</t>
  </si>
  <si>
    <t>E</t>
  </si>
  <si>
    <t>Manpower</t>
  </si>
  <si>
    <t>Chemicals</t>
  </si>
  <si>
    <t>Water</t>
  </si>
  <si>
    <t>GRAND TOTAL</t>
  </si>
  <si>
    <t>RECAPITULATION</t>
  </si>
  <si>
    <t>SUMMARY COST PRICE</t>
  </si>
  <si>
    <t>Index esc.</t>
  </si>
  <si>
    <t>CODES</t>
  </si>
  <si>
    <t>ITEMS</t>
  </si>
  <si>
    <t>Coef+inf</t>
  </si>
  <si>
    <t>cost</t>
  </si>
  <si>
    <t>factors</t>
  </si>
  <si>
    <t>selling</t>
  </si>
  <si>
    <t>TO= TOOLS</t>
  </si>
  <si>
    <t>ADM=ADMINISTRATION COST</t>
  </si>
  <si>
    <t>CONS=CONSUMABLE &amp; LUBRICANTS</t>
  </si>
  <si>
    <t>SP=SPARE PARTS, REPAIR</t>
  </si>
  <si>
    <t>MAN=Manual update</t>
  </si>
  <si>
    <t>TAX=SALES TAX ON CONTRACT</t>
  </si>
  <si>
    <t>REN=RENEWAL</t>
  </si>
  <si>
    <t>CH=CHEMICALS VARIABLE</t>
  </si>
  <si>
    <t>1-FEW PARAMETERS</t>
  </si>
  <si>
    <t>Rps/m3</t>
  </si>
  <si>
    <t>BREAK</t>
  </si>
  <si>
    <t>INDEX</t>
  </si>
  <si>
    <t>CPI</t>
  </si>
  <si>
    <t>CL</t>
  </si>
  <si>
    <t>AL</t>
  </si>
  <si>
    <t>MP</t>
  </si>
  <si>
    <t>AC</t>
  </si>
  <si>
    <t>TO</t>
  </si>
  <si>
    <t>ADM</t>
  </si>
  <si>
    <t>CONS</t>
  </si>
  <si>
    <t>SP</t>
  </si>
  <si>
    <t>MAN</t>
  </si>
  <si>
    <t>TAX</t>
  </si>
  <si>
    <t>REN</t>
  </si>
  <si>
    <t>CH</t>
  </si>
  <si>
    <t>Period of O&amp;M</t>
  </si>
  <si>
    <t>years</t>
  </si>
  <si>
    <t>0000</t>
  </si>
  <si>
    <t>PREPARATION O&amp;M</t>
  </si>
  <si>
    <t>Type of treatment</t>
  </si>
  <si>
    <t>WT</t>
  </si>
  <si>
    <t>MATERIAL</t>
  </si>
  <si>
    <t>Type of contract</t>
  </si>
  <si>
    <t>O &amp; M</t>
  </si>
  <si>
    <t>VEHICLES</t>
  </si>
  <si>
    <t>Starting date</t>
  </si>
  <si>
    <t>SALARIES</t>
  </si>
  <si>
    <t>Country</t>
  </si>
  <si>
    <t>INDIA</t>
  </si>
  <si>
    <t>TRAINING</t>
  </si>
  <si>
    <t>Number of Expatriate*</t>
  </si>
  <si>
    <t>person</t>
  </si>
  <si>
    <t>Number of local employees</t>
  </si>
  <si>
    <t>F</t>
  </si>
  <si>
    <t>Total suspended solids / day</t>
  </si>
  <si>
    <t>tons / day</t>
  </si>
  <si>
    <t>Capacity</t>
  </si>
  <si>
    <t>m3/day</t>
  </si>
  <si>
    <t>ENERGY</t>
  </si>
  <si>
    <t>Sludge production (DS)</t>
  </si>
  <si>
    <t>kg/day</t>
  </si>
  <si>
    <t>ELECTRICITY SUBSCRIPTION</t>
  </si>
  <si>
    <t>Currency</t>
  </si>
  <si>
    <t>Indian Rupees</t>
  </si>
  <si>
    <t>ELECTRICITY CONSUMPTION</t>
  </si>
  <si>
    <t>Rate : 100 Rs =</t>
  </si>
  <si>
    <t>Euro</t>
  </si>
  <si>
    <t xml:space="preserve">FUEL </t>
  </si>
  <si>
    <t>Rate : 1 Euro =</t>
  </si>
  <si>
    <t>POTABLE WATER</t>
  </si>
  <si>
    <t>*one visit every year</t>
  </si>
  <si>
    <t>GAZ</t>
  </si>
  <si>
    <t xml:space="preserve">Infl. factor(ex personnal) = </t>
  </si>
  <si>
    <t xml:space="preserve">Infl. factor personnal = </t>
  </si>
  <si>
    <t>Rupees</t>
  </si>
  <si>
    <t>FF</t>
  </si>
  <si>
    <t>CHEMICALS</t>
  </si>
  <si>
    <t xml:space="preserve">Infl. factor chemicals = </t>
  </si>
  <si>
    <t>ALUM SULPHATE</t>
  </si>
  <si>
    <t>Inflation rate</t>
  </si>
  <si>
    <t>Local</t>
  </si>
  <si>
    <t>Import</t>
  </si>
  <si>
    <t>CHLORINE</t>
  </si>
  <si>
    <t>POLYMER for Pre-settler</t>
  </si>
  <si>
    <t>POLYMER THICKENER</t>
  </si>
  <si>
    <t>POLYMER for sludge</t>
  </si>
  <si>
    <t>CAUSTIC SODA</t>
  </si>
  <si>
    <t>INTERVENTIONS</t>
  </si>
  <si>
    <t>OIL AND GREASE</t>
  </si>
  <si>
    <t>CONSUMMABLES</t>
  </si>
  <si>
    <t>MEANS</t>
  </si>
  <si>
    <t>SMALL SPARE-PARTS</t>
  </si>
  <si>
    <t>BIG SPARE-PARTS</t>
  </si>
  <si>
    <t>PERSONNEL</t>
  </si>
  <si>
    <t>SUB-CONTRACTED MAINTENANCE</t>
  </si>
  <si>
    <t>SLUDGE TRANSPORTATION</t>
  </si>
  <si>
    <t>REFUSALS</t>
  </si>
  <si>
    <t>SAFETY</t>
  </si>
  <si>
    <t>CONTINGENCIES</t>
  </si>
  <si>
    <t>GREEN AREA MAINTENANCE</t>
  </si>
  <si>
    <t>TOTAL CHEMICALS</t>
  </si>
  <si>
    <t>PAINTING</t>
  </si>
  <si>
    <t>TOTAL OTHERS</t>
  </si>
  <si>
    <t>CW MAINTENANCE</t>
  </si>
  <si>
    <t>TOTAL COST PRICE</t>
  </si>
  <si>
    <t>COEFFICIENT ON SELLING PRICE</t>
  </si>
  <si>
    <t>WORKSHOP</t>
  </si>
  <si>
    <t>Service Tax &amp; VAT</t>
  </si>
  <si>
    <t>VEHICLES MAINTENANCE</t>
  </si>
  <si>
    <t>SG&amp;A</t>
  </si>
  <si>
    <t>VEHICLES FUEL</t>
  </si>
  <si>
    <t>Net margin on chemicals</t>
  </si>
  <si>
    <t>VEHICLE RENTAL</t>
  </si>
  <si>
    <t>Net margin on others</t>
  </si>
  <si>
    <t>LABORATORY EQUIPMENT AND REAGENTS</t>
  </si>
  <si>
    <t>Marketing Cost</t>
  </si>
  <si>
    <t>EXTERNAL ANALYSES</t>
  </si>
  <si>
    <t>EQUIPMENT RENTAL</t>
  </si>
  <si>
    <t>POST,PHONE,FAX,...</t>
  </si>
  <si>
    <t>SECURITY (GUARDS,...)</t>
  </si>
  <si>
    <t>VIDEO SECURITY, RADIO COMMUNICATION</t>
  </si>
  <si>
    <t>TOTAL SELLING PRICE CHEMICALS</t>
  </si>
  <si>
    <t>SP = CP / ( 1 - C)</t>
  </si>
  <si>
    <t>TOTAL SELLING PRICE OTHERS</t>
  </si>
  <si>
    <t>SALARIES AND TAX</t>
  </si>
  <si>
    <t>Gross margin on global</t>
  </si>
  <si>
    <t>INTERNAL IMPUTATION</t>
  </si>
  <si>
    <t>TRAVEL EXPENSES</t>
  </si>
  <si>
    <t>GRAND TOTAL / YEAR in Rs</t>
  </si>
  <si>
    <t>OTHER COSTS (uniforms, coats, medical care,...)</t>
  </si>
  <si>
    <t>in Rs/m3</t>
  </si>
  <si>
    <t>GRAND TOTAL / YEAR in FF</t>
  </si>
  <si>
    <t>MISCELLANEOUS</t>
  </si>
  <si>
    <t>in FF / m3</t>
  </si>
  <si>
    <t>PROFESSIONAL TAXES</t>
  </si>
  <si>
    <t>INSURANCES, FINANCIAL,...</t>
  </si>
  <si>
    <t>DJB Training</t>
  </si>
  <si>
    <t>GRAND TOTAL COST PRICE</t>
  </si>
  <si>
    <t>Grand TOTAL</t>
  </si>
  <si>
    <t>WITH RENEWAL</t>
  </si>
  <si>
    <t>Years of Operartion with Escalation</t>
  </si>
  <si>
    <t>S.No</t>
  </si>
  <si>
    <t>1 st Year</t>
  </si>
  <si>
    <t>2 nd Year</t>
  </si>
  <si>
    <t>3 rd Year</t>
  </si>
  <si>
    <t>4 th Year</t>
  </si>
  <si>
    <t>5 th Year</t>
  </si>
  <si>
    <t>6 th Year</t>
  </si>
  <si>
    <t>7 th Year</t>
  </si>
  <si>
    <t>8 th Year</t>
  </si>
  <si>
    <t>9 th Year</t>
  </si>
  <si>
    <t>10 th Year</t>
  </si>
  <si>
    <t>11 th Year</t>
  </si>
  <si>
    <t>12 th Year</t>
  </si>
  <si>
    <t>13 th Year</t>
  </si>
  <si>
    <t>14 th Year</t>
  </si>
  <si>
    <t>15 th Year</t>
  </si>
  <si>
    <t>16 th Year</t>
  </si>
  <si>
    <t>17 th Year</t>
  </si>
  <si>
    <t>Total Price for 17 yrs</t>
  </si>
  <si>
    <t>Power (Only Cost, no markup)</t>
  </si>
  <si>
    <t>Maintenance &amp; Spares</t>
  </si>
  <si>
    <t>Insurance</t>
  </si>
  <si>
    <t>Administration Cost</t>
  </si>
  <si>
    <t xml:space="preserve">Grand Total </t>
  </si>
  <si>
    <t>Bid Parameters and Key Outputs</t>
  </si>
  <si>
    <t>Annual Operating Grant/ Premium (Rs. Crs.)</t>
  </si>
  <si>
    <r>
      <t>LIME (Ca(OH)</t>
    </r>
    <r>
      <rPr>
        <b/>
        <vertAlign val="subscript"/>
        <sz val="8"/>
        <rFont val="Arial"/>
        <family val="2"/>
      </rPr>
      <t>2</t>
    </r>
    <r>
      <rPr>
        <b/>
        <sz val="8"/>
        <rFont val="Arial"/>
        <family val="2"/>
      </rPr>
      <t>)</t>
    </r>
  </si>
  <si>
    <t>Household Consumption (ML/connection/day)</t>
  </si>
  <si>
    <t>% increase in population</t>
  </si>
  <si>
    <t>% increase in Population</t>
  </si>
  <si>
    <t>Total Project Cost,IDC and Working Capital Margin</t>
  </si>
  <si>
    <t>Working capital equity portion to be met through internal accurals</t>
  </si>
  <si>
    <t>Working capital equity portion to be met through fresh equity</t>
  </si>
  <si>
    <t>OSG</t>
  </si>
  <si>
    <t>Aurangabad Manpower Retirement Schedule</t>
  </si>
  <si>
    <t>Years</t>
  </si>
  <si>
    <t>Cumulative</t>
  </si>
  <si>
    <t>Total Employees</t>
  </si>
  <si>
    <t>Current Manpower costs (Rs. Crs.)</t>
  </si>
  <si>
    <t>Manpower Cost for 2012</t>
  </si>
  <si>
    <t>Increment (%)</t>
  </si>
  <si>
    <t>Average Manpower cost per employee per annum(Rs.)</t>
  </si>
  <si>
    <t>AMC Staff Cost</t>
  </si>
  <si>
    <t>No. of Employees</t>
  </si>
  <si>
    <t>Average cost per employee</t>
  </si>
  <si>
    <t>Increase in salary (%)</t>
  </si>
  <si>
    <t>Total AMC staff Cost (Rs. Crs.)</t>
  </si>
  <si>
    <t>New Staff Cost</t>
  </si>
  <si>
    <t>Total cost (Rs. Crs.)</t>
  </si>
  <si>
    <t>Total Manpower Cost (Rs. Crs.)</t>
  </si>
  <si>
    <t>0-8 KL (per month)</t>
  </si>
  <si>
    <t>8-17 KL (per month)</t>
  </si>
  <si>
    <t>17-23 KL (per month)</t>
  </si>
  <si>
    <t>Above 23 KL (per month)</t>
  </si>
  <si>
    <t>Revenues from Enroute customers per annum (Rs. Crs.)</t>
  </si>
  <si>
    <t>% Increase</t>
  </si>
  <si>
    <t>Total Revenues from Enroute Customers</t>
  </si>
  <si>
    <t>% Grant Realized</t>
  </si>
  <si>
    <t>Increase in Consumption patter</t>
  </si>
  <si>
    <t>Total Flat Revenues from additional meters installed-@ Rs. 1800 per connection</t>
  </si>
  <si>
    <t>Total Flat Revenues from existing 100,000 meters for first three years- @Rs. 1800 per connection</t>
  </si>
  <si>
    <t>Existing Connections</t>
  </si>
  <si>
    <t>Additions for first three years</t>
  </si>
  <si>
    <t>Direct Capital Cost During Construction</t>
  </si>
  <si>
    <t>Direct cost in subsquent years</t>
  </si>
  <si>
    <t>Project Capital Cost Assumptions net of Grants</t>
  </si>
  <si>
    <t>Demand of Water @ 75 L per person</t>
  </si>
  <si>
    <t>Total Project Cost Net of Grants</t>
  </si>
  <si>
    <t>Marketing and Other Mis cost</t>
  </si>
  <si>
    <t>New WTP cost</t>
  </si>
  <si>
    <t>error</t>
  </si>
  <si>
    <t/>
  </si>
  <si>
    <t>ok</t>
  </si>
  <si>
    <t>RENEWAL FUND remove from cost sheet =  100 %</t>
  </si>
  <si>
    <t>Price Break-Up for  WTP</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</si>
</sst>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Red]\(0.0\)"/>
    <numFmt numFmtId="169" formatCode="0.0_);\(0.0\)"/>
    <numFmt numFmtId="170" formatCode="#,##0.0"/>
    <numFmt numFmtId="171" formatCode="_(* #,##0.0_);_(* \(#,##0.0\);_(* &quot;-&quot;?_);_(@_)"/>
    <numFmt numFmtId="172" formatCode="[$-409]mmm\-yy;@"/>
    <numFmt numFmtId="173" formatCode="_ * #,##0.00_ ;_ * \-#,##0.00_ ;_ * &quot;-&quot;??_ ;_ @_ "/>
    <numFmt numFmtId="174" formatCode="#,##0.00;[Red]\(#,##0.00\)"/>
    <numFmt numFmtId="175" formatCode="#,##0.000;[Red]\(#,##0.000\)"/>
    <numFmt numFmtId="176" formatCode="#,##0.0000;[Red]\(#,##0.0000\)"/>
    <numFmt numFmtId="177" formatCode="mmmm\-yy"/>
    <numFmt numFmtId="178" formatCode="#,##0.0000_);\(#,##0.0000\)"/>
    <numFmt numFmtId="179" formatCode="0.0000%"/>
    <numFmt numFmtId="180" formatCode="0\ &quot;years&quot;"/>
    <numFmt numFmtId="181" formatCode="0.00_)"/>
    <numFmt numFmtId="182" formatCode="#,##0.00\ &quot;F&quot;;\-#,##0.00\ &quot;F&quot;"/>
    <numFmt numFmtId="183" formatCode="m/d"/>
    <numFmt numFmtId="184" formatCode="#,##0&quot;£&quot;_);\(#,##0&quot;£&quot;\)"/>
    <numFmt numFmtId="185" formatCode="[$-409]d\-mmm\-yyyy;@"/>
    <numFmt numFmtId="186" formatCode="0\ &quot;months&quot;"/>
    <numFmt numFmtId="187" formatCode="_-* #,##0.00_-;\-* #,##0.00_-;_-* &quot;-&quot;??_-;_-@_-"/>
    <numFmt numFmtId="188" formatCode="_([$€-2]* #,##0.00_);_([$€-2]* \(#,##0.00\);_([$€-2]* &quot;-&quot;??_)"/>
    <numFmt numFmtId="189" formatCode="#,##0.0000"/>
    <numFmt numFmtId="190" formatCode="#,##0.000"/>
    <numFmt numFmtId="191" formatCode="#,##0.00\ &quot;F&quot;;[Red]\-#,##0.00\ &quot;F&quot;"/>
    <numFmt numFmtId="192" formatCode="#,##0_ ;[Red]\-#,##0\ "/>
    <numFmt numFmtId="193" formatCode="#,##0\ &quot;F&quot;;[Red]\-#,##0\ &quot;F&quot;"/>
    <numFmt numFmtId="194" formatCode="#,##0\ &quot;F&quot;"/>
    <numFmt numFmtId="195" formatCode="#,##0.0000\ &quot;F&quot;;[Red]\-#,##0.0000\ &quot;F&quot;"/>
    <numFmt numFmtId="196" formatCode="0.000%"/>
    <numFmt numFmtId="197" formatCode="_-* #,##0.00\ _F_-;\-* #,##0.00\ _F_-;_-* &quot;-&quot;??\ _F_-;_-@_-"/>
    <numFmt numFmtId="198" formatCode="_-* #,##0.00\ &quot;F&quot;_-;\-* #,##0.00\ &quot;F&quot;_-;_-* &quot;-&quot;??\ &quot;F&quot;_-;_-@_-"/>
    <numFmt numFmtId="199" formatCode="_-* #,##0_-;\-* #,##0_-;_-* &quot;-&quot;??_-;_-@_-"/>
    <numFmt numFmtId="200" formatCode="mmmm\ d\,\ yyyy"/>
    <numFmt numFmtId="201" formatCode="_-&quot;£&quot;* #,##0_-;\-&quot;£&quot;* #,##0_-;_-&quot;£&quot;* &quot;-&quot;_-;_-@_-"/>
    <numFmt numFmtId="202" formatCode="_-&quot;£&quot;* #,##0.00_-;\-&quot;£&quot;* #,##0.00_-;_-&quot;£&quot;* &quot;-&quot;??_-;_-@_-"/>
    <numFmt numFmtId="203" formatCode="_(* #,##0.000_);_(* \(#,##0.000\);_(* &quot;-&quot;??_);_(@_)"/>
  </numFmts>
  <fonts count="105">
    <font>
      <sz val="10"/>
      <name val="Arial"/>
      <family val="0"/>
    </font>
    <font>
      <sz val="11"/>
      <color indexed="8"/>
      <name val="Calibri"/>
      <family val="2"/>
    </font>
    <font>
      <sz val="8"/>
      <name val="Arial"/>
      <family val="2"/>
    </font>
    <font>
      <b/>
      <sz val="8"/>
      <color indexed="9"/>
      <name val="Arial"/>
      <family val="2"/>
    </font>
    <font>
      <b/>
      <sz val="8"/>
      <name val="Arial"/>
      <family val="2"/>
    </font>
    <font>
      <sz val="8"/>
      <color indexed="62"/>
      <name val="Arial"/>
      <family val="2"/>
    </font>
    <font>
      <b/>
      <sz val="8"/>
      <color indexed="62"/>
      <name val="Arial"/>
      <family val="2"/>
    </font>
    <font>
      <b/>
      <sz val="12"/>
      <name val="Arial"/>
      <family val="2"/>
    </font>
    <font>
      <sz val="8"/>
      <color indexed="8"/>
      <name val="Arial"/>
      <family val="2"/>
    </font>
    <font>
      <sz val="8"/>
      <color indexed="12"/>
      <name val="Arial"/>
      <family val="2"/>
    </font>
    <font>
      <b/>
      <sz val="8"/>
      <color indexed="8"/>
      <name val="Arial"/>
      <family val="2"/>
    </font>
    <font>
      <b/>
      <sz val="8"/>
      <color indexed="12"/>
      <name val="Arial"/>
      <family val="2"/>
    </font>
    <font>
      <b/>
      <sz val="8"/>
      <name val="Tahoma"/>
      <family val="2"/>
    </font>
    <font>
      <sz val="8"/>
      <name val="Tahoma"/>
      <family val="2"/>
    </font>
    <font>
      <sz val="10"/>
      <color indexed="8"/>
      <name val="Arial"/>
      <family val="2"/>
    </font>
    <font>
      <b/>
      <i/>
      <sz val="16"/>
      <name val="Helv"/>
      <family val="0"/>
    </font>
    <font>
      <sz val="12"/>
      <name val="Arial"/>
      <family val="2"/>
    </font>
    <font>
      <sz val="12"/>
      <name val="Times New Roman"/>
      <family val="1"/>
    </font>
    <font>
      <sz val="10"/>
      <name val="MS Sans Serif"/>
      <family val="2"/>
    </font>
    <font>
      <b/>
      <sz val="11"/>
      <name val="Times New Roman"/>
      <family val="1"/>
    </font>
    <font>
      <sz val="8"/>
      <color indexed="10"/>
      <name val="Arial Narrow"/>
      <family val="2"/>
    </font>
    <font>
      <i/>
      <sz val="8"/>
      <name val="Arial"/>
      <family val="2"/>
    </font>
    <font>
      <b/>
      <sz val="10"/>
      <name val="Arial"/>
      <family val="2"/>
    </font>
    <font>
      <b/>
      <i/>
      <sz val="8"/>
      <name val="Arial"/>
      <family val="2"/>
    </font>
    <font>
      <b/>
      <i/>
      <sz val="10"/>
      <name val="Arial"/>
      <family val="2"/>
    </font>
    <font>
      <b/>
      <sz val="8"/>
      <color indexed="10"/>
      <name val="Arial"/>
      <family val="2"/>
    </font>
    <font>
      <b/>
      <sz val="9"/>
      <name val="Arial"/>
      <family val="2"/>
    </font>
    <font>
      <i/>
      <sz val="10"/>
      <name val="Arial"/>
      <family val="2"/>
    </font>
    <font>
      <b/>
      <sz val="9"/>
      <color indexed="8"/>
      <name val="Arial"/>
      <family val="2"/>
    </font>
    <font>
      <u val="single"/>
      <sz val="10"/>
      <color indexed="12"/>
      <name val="Arial"/>
      <family val="2"/>
    </font>
    <font>
      <u val="single"/>
      <sz val="11"/>
      <color indexed="12"/>
      <name val="Calibri"/>
      <family val="2"/>
    </font>
    <font>
      <b/>
      <sz val="11"/>
      <color indexed="9"/>
      <name val="Arial"/>
      <family val="2"/>
    </font>
    <font>
      <sz val="8"/>
      <color indexed="10"/>
      <name val="Arial"/>
      <family val="2"/>
    </font>
    <font>
      <sz val="8"/>
      <color indexed="60"/>
      <name val="Arial"/>
      <family val="2"/>
    </font>
    <font>
      <b/>
      <sz val="8"/>
      <color indexed="60"/>
      <name val="Arial"/>
      <family val="2"/>
    </font>
    <font>
      <i/>
      <sz val="8"/>
      <color indexed="60"/>
      <name val="Arial"/>
      <family val="2"/>
    </font>
    <font>
      <i/>
      <sz val="10"/>
      <color indexed="10"/>
      <name val="Arial"/>
      <family val="2"/>
    </font>
    <font>
      <sz val="11"/>
      <color indexed="9"/>
      <name val="Arial"/>
      <family val="2"/>
    </font>
    <font>
      <sz val="10"/>
      <name val="Tahoma"/>
      <family val="2"/>
    </font>
    <font>
      <b/>
      <sz val="11"/>
      <color indexed="8"/>
      <name val="Calibri"/>
      <family val="2"/>
    </font>
    <font>
      <sz val="10"/>
      <name val="Times New Roman"/>
      <family val="1"/>
    </font>
    <font>
      <sz val="8"/>
      <color indexed="9"/>
      <name val="Arial"/>
      <family val="2"/>
    </font>
    <font>
      <sz val="11"/>
      <name val="Arial"/>
      <family val="2"/>
    </font>
    <font>
      <b/>
      <sz val="11"/>
      <name val="Arial"/>
      <family val="2"/>
    </font>
    <font>
      <sz val="8"/>
      <name val="Roman"/>
      <family val="1"/>
    </font>
    <font>
      <sz val="10"/>
      <name val="Helv"/>
      <family val="0"/>
    </font>
    <font>
      <sz val="9"/>
      <name val="Tahoma"/>
      <family val="2"/>
    </font>
    <font>
      <b/>
      <sz val="9"/>
      <name val="Tahoma"/>
      <family val="2"/>
    </font>
    <font>
      <sz val="12"/>
      <name val="Arial MT"/>
      <family val="0"/>
    </font>
    <font>
      <b/>
      <sz val="10"/>
      <color indexed="8"/>
      <name val="Helv"/>
      <family val="0"/>
    </font>
    <font>
      <b/>
      <sz val="12"/>
      <color indexed="8"/>
      <name val="Helv"/>
      <family val="0"/>
    </font>
    <font>
      <b/>
      <sz val="10"/>
      <color indexed="9"/>
      <name val="Arial"/>
      <family val="2"/>
    </font>
    <font>
      <b/>
      <vertAlign val="subscript"/>
      <sz val="8"/>
      <name val="Arial"/>
      <family val="2"/>
    </font>
    <font>
      <b/>
      <sz val="8"/>
      <color indexed="14"/>
      <name val="Arial"/>
      <family val="2"/>
    </font>
    <font>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9"/>
      <color indexed="8"/>
      <name val="Arial"/>
      <family val="0"/>
    </font>
    <font>
      <sz val="24"/>
      <color indexed="8"/>
      <name val="Arial"/>
      <family val="0"/>
    </font>
    <font>
      <sz val="11"/>
      <color indexed="8"/>
      <name val="Arial"/>
      <family val="0"/>
    </font>
    <font>
      <b/>
      <sz val="14"/>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sz val="8"/>
      <color rgb="FFFF0000"/>
      <name val="Arial"/>
      <family val="2"/>
    </font>
    <font>
      <i/>
      <sz val="8"/>
      <color theme="5" tint="-0.24997000396251678"/>
      <name val="Arial"/>
      <family val="2"/>
    </font>
    <font>
      <i/>
      <sz val="10"/>
      <color rgb="FFFF0000"/>
      <name val="Arial"/>
      <family val="2"/>
    </font>
    <font>
      <sz val="11"/>
      <color theme="0"/>
      <name val="Arial"/>
      <family val="2"/>
    </font>
    <font>
      <sz val="8"/>
      <color theme="5" tint="-0.24997000396251678"/>
      <name val="Arial"/>
      <family val="2"/>
    </font>
    <font>
      <b/>
      <sz val="8"/>
      <color theme="5" tint="-0.24997000396251678"/>
      <name val="Arial"/>
      <family val="2"/>
    </font>
    <font>
      <sz val="8"/>
      <color theme="9" tint="-0.4999699890613556"/>
      <name val="Arial"/>
      <family val="2"/>
    </font>
    <font>
      <b/>
      <sz val="8"/>
      <color theme="0"/>
      <name val="Arial"/>
      <family val="2"/>
    </font>
    <font>
      <sz val="8"/>
      <color theme="0"/>
      <name val="Arial"/>
      <family val="2"/>
    </font>
    <font>
      <b/>
      <sz val="10"/>
      <color theme="0"/>
      <name val="Arial"/>
      <family val="2"/>
    </font>
    <font>
      <sz val="10"/>
      <color theme="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gray0625">
        <fgColor indexed="8"/>
      </patternFill>
    </fill>
    <fill>
      <patternFill patternType="solid">
        <fgColor indexed="56"/>
        <bgColor indexed="64"/>
      </patternFill>
    </fill>
    <fill>
      <patternFill patternType="solid">
        <fgColor theme="5" tint="-0.4999699890613556"/>
        <bgColor indexed="64"/>
      </patternFill>
    </fill>
    <fill>
      <patternFill patternType="solid">
        <fgColor theme="3" tint="-0.24997000396251678"/>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style="medium"/>
      <top/>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ck"/>
      <top/>
      <bottom/>
    </border>
    <border>
      <left style="thin"/>
      <right style="thin"/>
      <top/>
      <bottom/>
    </border>
    <border>
      <left>
        <color indexed="63"/>
      </left>
      <right>
        <color indexed="63"/>
      </right>
      <top style="thin">
        <color theme="4"/>
      </top>
      <bottom style="double">
        <color theme="4"/>
      </bottom>
    </border>
    <border>
      <left/>
      <right/>
      <top style="thin"/>
      <bottom/>
    </border>
    <border>
      <left style="thin"/>
      <right/>
      <top style="thin"/>
      <bottom style="thin"/>
    </border>
    <border>
      <left style="thin"/>
      <right style="thin"/>
      <top/>
      <bottom style="thin"/>
    </border>
    <border>
      <left style="thin"/>
      <right style="thin"/>
      <top style="thin"/>
      <bottom/>
    </border>
    <border>
      <left style="medium">
        <color theme="0" tint="-0.4999699890613556"/>
      </left>
      <right style="thin">
        <color theme="0" tint="-0.4999699890613556"/>
      </right>
      <top style="medium">
        <color theme="0" tint="-0.4999699890613556"/>
      </top>
      <bottom style="thin">
        <color theme="0" tint="-0.4999699890613556"/>
      </bottom>
    </border>
    <border>
      <left style="thin">
        <color theme="0" tint="-0.4999699890613556"/>
      </left>
      <right style="thin">
        <color theme="0" tint="-0.4999699890613556"/>
      </right>
      <top style="medium">
        <color theme="0" tint="-0.4999699890613556"/>
      </top>
      <bottom style="thin">
        <color theme="0" tint="-0.4999699890613556"/>
      </bottom>
    </border>
    <border>
      <left style="thin">
        <color theme="0" tint="-0.4999699890613556"/>
      </left>
      <right style="medium">
        <color theme="0" tint="-0.4999699890613556"/>
      </right>
      <top style="medium">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medium">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medium">
        <color theme="0" tint="-0.4999699890613556"/>
      </bottom>
    </border>
    <border>
      <left style="medium"/>
      <right style="medium"/>
      <top style="medium"/>
      <bottom style="medium"/>
    </border>
    <border>
      <left style="medium"/>
      <right/>
      <top style="medium"/>
      <bottom/>
    </border>
    <border>
      <left style="medium"/>
      <right/>
      <top/>
      <bottom/>
    </border>
    <border>
      <left style="medium"/>
      <right/>
      <top/>
      <bottom style="medium"/>
    </border>
    <border>
      <left style="medium"/>
      <right/>
      <top style="medium"/>
      <bottom style="medium"/>
    </border>
    <border>
      <left style="thin"/>
      <right style="thin"/>
      <top style="medium"/>
      <bottom style="medium"/>
    </border>
    <border>
      <left/>
      <right style="medium"/>
      <top style="medium"/>
      <bottom style="medium"/>
    </border>
    <border>
      <left style="thin"/>
      <right/>
      <top style="thin"/>
      <bottom/>
    </border>
    <border>
      <left/>
      <right style="thin"/>
      <top style="thin"/>
      <bottom/>
    </border>
    <border>
      <left style="thin"/>
      <right/>
      <top/>
      <bottom style="thin"/>
    </border>
    <border>
      <left/>
      <right/>
      <top/>
      <bottom style="thin"/>
    </border>
    <border>
      <left/>
      <right style="thin"/>
      <top/>
      <bottom/>
    </border>
    <border>
      <left style="medium"/>
      <right style="thin"/>
      <top style="medium"/>
      <bottom style="medium"/>
    </border>
    <border>
      <left style="thin"/>
      <right style="medium"/>
      <top style="medium"/>
      <bottom style="medium"/>
    </border>
    <border>
      <left style="thin"/>
      <right style="thin"/>
      <top/>
      <bottom style="hair"/>
    </border>
    <border>
      <left/>
      <right/>
      <top/>
      <bottom style="hair"/>
    </border>
    <border>
      <left style="medium"/>
      <right style="double"/>
      <top style="medium"/>
      <bottom style="thin"/>
    </border>
    <border>
      <left style="thin"/>
      <right style="medium"/>
      <top/>
      <bottom/>
    </border>
    <border>
      <left/>
      <right style="thin"/>
      <top/>
      <bottom style="thin"/>
    </border>
    <border>
      <left style="thin"/>
      <right style="medium"/>
      <top/>
      <bottom style="thin"/>
    </border>
    <border>
      <left style="thin"/>
      <right/>
      <top style="thin"/>
      <bottom style="hair"/>
    </border>
    <border>
      <left/>
      <right/>
      <top style="thin"/>
      <bottom style="hair"/>
    </border>
    <border>
      <left/>
      <right style="thin"/>
      <top style="thin"/>
      <bottom style="hair"/>
    </border>
    <border>
      <left style="thin"/>
      <right style="thin"/>
      <top style="thin"/>
      <bottom style="hair"/>
    </border>
    <border>
      <left/>
      <right/>
      <top style="hair"/>
      <bottom style="hair"/>
    </border>
    <border>
      <left/>
      <right style="thin"/>
      <top/>
      <bottom style="hair"/>
    </border>
    <border>
      <left style="medium"/>
      <right/>
      <top style="thin"/>
      <bottom style="thin"/>
    </border>
    <border>
      <left style="thin"/>
      <right/>
      <top/>
      <bottom style="hair"/>
    </border>
    <border>
      <left style="medium"/>
      <right style="double"/>
      <top style="thin"/>
      <bottom style="thin"/>
    </border>
    <border>
      <left/>
      <right style="thin"/>
      <top style="thin"/>
      <bottom style="thin"/>
    </border>
    <border>
      <left style="thin"/>
      <right style="medium"/>
      <top style="thin"/>
      <bottom style="thin"/>
    </border>
    <border>
      <left/>
      <right/>
      <top style="hair"/>
      <bottom style="thin"/>
    </border>
    <border>
      <left style="medium"/>
      <right style="medium"/>
      <top style="thin"/>
      <bottom style="thin"/>
    </border>
    <border>
      <left/>
      <right/>
      <top/>
      <bottom style="medium"/>
    </border>
    <border>
      <left/>
      <right style="medium"/>
      <top/>
      <bottom style="medium"/>
    </border>
    <border>
      <left style="medium"/>
      <right style="double"/>
      <top style="thin"/>
      <bottom style="medium"/>
    </border>
    <border>
      <left/>
      <right style="thin"/>
      <top style="thin"/>
      <bottom style="medium"/>
    </border>
    <border>
      <left style="thin"/>
      <right style="thin"/>
      <top style="thin"/>
      <bottom style="medium"/>
    </border>
    <border>
      <left style="thin"/>
      <right style="medium"/>
      <top style="thin"/>
      <bottom style="medium"/>
    </border>
    <border>
      <left/>
      <right/>
      <top style="medium"/>
      <bottom/>
    </border>
    <border>
      <left/>
      <right style="medium"/>
      <top style="medium"/>
      <bottom/>
    </border>
    <border>
      <left style="medium">
        <color theme="0" tint="-0.4999699890613556"/>
      </left>
      <right/>
      <top style="thin">
        <color theme="0" tint="-0.4999699890613556"/>
      </top>
      <bottom style="medium">
        <color theme="0" tint="-0.4999699890613556"/>
      </bottom>
    </border>
    <border>
      <left/>
      <right/>
      <top style="thin">
        <color theme="0" tint="-0.4999699890613556"/>
      </top>
      <bottom style="medium">
        <color theme="0" tint="-0.4999699890613556"/>
      </bottom>
    </border>
    <border>
      <left/>
      <right style="thin">
        <color theme="0" tint="-0.4999699890613556"/>
      </right>
      <top style="thin">
        <color theme="0" tint="-0.4999699890613556"/>
      </top>
      <bottom style="medium">
        <color theme="0" tint="-0.4999699890613556"/>
      </bottom>
    </border>
    <border>
      <left style="medium">
        <color theme="0" tint="-0.4999699890613556"/>
      </left>
      <right style="thin">
        <color theme="0" tint="-0.4999699890613556"/>
      </right>
      <top style="thin">
        <color theme="0" tint="-0.4999699890613556"/>
      </top>
      <bottom style="thin">
        <color theme="0" tint="-0.4999699890613556"/>
      </bottom>
    </border>
    <border>
      <left style="medium">
        <color theme="0" tint="-0.4999699890613556"/>
      </left>
      <right style="thin">
        <color theme="0" tint="-0.4999699890613556"/>
      </right>
      <top style="thin">
        <color theme="0" tint="-0.4999699890613556"/>
      </top>
      <bottom/>
    </border>
    <border>
      <left style="medium">
        <color theme="0" tint="-0.4999699890613556"/>
      </left>
      <right style="thin">
        <color theme="0" tint="-0.4999699890613556"/>
      </right>
      <top/>
      <bottom/>
    </border>
    <border>
      <left style="medium">
        <color theme="0" tint="-0.4999699890613556"/>
      </left>
      <right style="thin">
        <color theme="0" tint="-0.4999699890613556"/>
      </right>
      <top/>
      <bottom style="thin">
        <color theme="0" tint="-0.4999699890613556"/>
      </bottom>
    </border>
  </borders>
  <cellStyleXfs count="1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173" fontId="0" fillId="0" borderId="0" applyFill="0" applyBorder="0" applyAlignment="0">
      <protection/>
    </xf>
    <xf numFmtId="174" fontId="0" fillId="0" borderId="0" applyFill="0" applyBorder="0" applyAlignment="0">
      <protection/>
    </xf>
    <xf numFmtId="175" fontId="0" fillId="0" borderId="0" applyFill="0" applyBorder="0" applyAlignment="0">
      <protection/>
    </xf>
    <xf numFmtId="176" fontId="0" fillId="0" borderId="0" applyFill="0" applyBorder="0" applyAlignment="0">
      <protection/>
    </xf>
    <xf numFmtId="177" fontId="0" fillId="0" borderId="0" applyFill="0" applyBorder="0" applyAlignment="0">
      <protection/>
    </xf>
    <xf numFmtId="173" fontId="0" fillId="0" borderId="0" applyFill="0" applyBorder="0" applyAlignment="0">
      <protection/>
    </xf>
    <xf numFmtId="178" fontId="0" fillId="0" borderId="0" applyFill="0" applyBorder="0" applyAlignment="0">
      <protection/>
    </xf>
    <xf numFmtId="174" fontId="0" fillId="0" borderId="0" applyFill="0" applyBorder="0" applyAlignment="0">
      <protection/>
    </xf>
    <xf numFmtId="0" fontId="77" fillId="27" borderId="1" applyNumberFormat="0" applyAlignment="0" applyProtection="0"/>
    <xf numFmtId="0" fontId="17" fillId="0" borderId="0">
      <alignment/>
      <protection/>
    </xf>
    <xf numFmtId="0" fontId="78" fillId="28" borderId="2" applyNumberFormat="0" applyAlignment="0" applyProtection="0"/>
    <xf numFmtId="43" fontId="0" fillId="0" borderId="0" applyFont="0" applyFill="0" applyBorder="0" applyAlignment="0" applyProtection="0"/>
    <xf numFmtId="179" fontId="0" fillId="0" borderId="0">
      <alignment/>
      <protection/>
    </xf>
    <xf numFmtId="179" fontId="0" fillId="0" borderId="0">
      <alignment/>
      <protection/>
    </xf>
    <xf numFmtId="179" fontId="0" fillId="0" borderId="0">
      <alignment/>
      <protection/>
    </xf>
    <xf numFmtId="179" fontId="0" fillId="0" borderId="0">
      <alignment/>
      <protection/>
    </xf>
    <xf numFmtId="179" fontId="0" fillId="0" borderId="0">
      <alignment/>
      <protection/>
    </xf>
    <xf numFmtId="179" fontId="0" fillId="0" borderId="0">
      <alignment/>
      <protection/>
    </xf>
    <xf numFmtId="179" fontId="0" fillId="0" borderId="0">
      <alignment/>
      <protection/>
    </xf>
    <xf numFmtId="179" fontId="0" fillId="0" borderId="0">
      <alignment/>
      <protection/>
    </xf>
    <xf numFmtId="41" fontId="0"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180" fontId="0"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6"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43" fontId="7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7" fontId="38" fillId="0" borderId="0" applyFont="0" applyFill="0" applyBorder="0" applyAlignment="0" applyProtection="0"/>
    <xf numFmtId="43" fontId="0"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0" fontId="18" fillId="0" borderId="0" applyFont="0" applyFill="0" applyBorder="0" applyAlignment="0" applyProtection="0"/>
    <xf numFmtId="187" fontId="0" fillId="0" borderId="0" applyFont="0" applyFill="0" applyBorder="0" applyAlignment="0" applyProtection="0"/>
    <xf numFmtId="37" fontId="0"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4" fontId="0" fillId="0" borderId="0" applyFont="0" applyFill="0" applyBorder="0" applyAlignment="0" applyProtection="0"/>
    <xf numFmtId="191" fontId="18" fillId="0" borderId="0" applyFont="0" applyFill="0" applyBorder="0" applyAlignment="0" applyProtection="0"/>
    <xf numFmtId="0" fontId="18" fillId="0" borderId="0" applyFont="0" applyFill="0" applyBorder="0" applyAlignment="0" applyProtection="0"/>
    <xf numFmtId="5" fontId="0" fillId="0" borderId="0" applyFill="0" applyBorder="0" applyAlignment="0" applyProtection="0"/>
    <xf numFmtId="200" fontId="0" fillId="0" borderId="0" applyFill="0" applyBorder="0" applyAlignment="0" applyProtection="0"/>
    <xf numFmtId="14" fontId="14" fillId="0" borderId="0" applyFill="0" applyBorder="0" applyAlignment="0">
      <protection/>
    </xf>
    <xf numFmtId="38" fontId="18" fillId="0" borderId="0" applyFont="0" applyFill="0" applyBorder="0" applyAlignment="0" applyProtection="0"/>
    <xf numFmtId="40" fontId="18" fillId="0" borderId="0" applyFont="0" applyFill="0" applyBorder="0" applyAlignment="0" applyProtection="0"/>
    <xf numFmtId="173" fontId="0" fillId="0" borderId="0" applyFill="0" applyBorder="0" applyAlignment="0">
      <protection/>
    </xf>
    <xf numFmtId="174" fontId="0" fillId="0" borderId="0" applyFill="0" applyBorder="0" applyAlignment="0">
      <protection/>
    </xf>
    <xf numFmtId="173" fontId="0" fillId="0" borderId="0" applyFill="0" applyBorder="0" applyAlignment="0">
      <protection/>
    </xf>
    <xf numFmtId="178" fontId="0" fillId="0" borderId="0" applyFill="0" applyBorder="0" applyAlignment="0">
      <protection/>
    </xf>
    <xf numFmtId="174" fontId="0" fillId="0" borderId="0" applyFill="0" applyBorder="0" applyAlignment="0">
      <protection/>
    </xf>
    <xf numFmtId="188" fontId="0" fillId="0" borderId="0" applyFont="0" applyFill="0" applyBorder="0" applyAlignment="0" applyProtection="0"/>
    <xf numFmtId="0" fontId="79" fillId="0" borderId="0" applyNumberFormat="0" applyFill="0" applyBorder="0" applyAlignment="0" applyProtection="0"/>
    <xf numFmtId="171" fontId="0" fillId="0" borderId="0" applyFont="0" applyFill="0" applyBorder="0" applyProtection="0">
      <alignment horizontal="center"/>
    </xf>
    <xf numFmtId="2" fontId="0" fillId="0" borderId="0" applyFill="0" applyBorder="0" applyAlignment="0" applyProtection="0"/>
    <xf numFmtId="0" fontId="40" fillId="0" borderId="3" applyNumberFormat="0" applyFill="0" applyBorder="0" applyAlignment="0" applyProtection="0"/>
    <xf numFmtId="0" fontId="80" fillId="29" borderId="0" applyNumberFormat="0" applyBorder="0" applyAlignment="0" applyProtection="0"/>
    <xf numFmtId="38" fontId="2" fillId="30" borderId="0" applyNumberFormat="0" applyBorder="0" applyAlignment="0" applyProtection="0"/>
    <xf numFmtId="0" fontId="7" fillId="0" borderId="4" applyNumberFormat="0" applyAlignment="0" applyProtection="0"/>
    <xf numFmtId="0" fontId="7" fillId="0" borderId="5">
      <alignment horizontal="left" vertical="center"/>
      <protection/>
    </xf>
    <xf numFmtId="0" fontId="81" fillId="0" borderId="6" applyNumberFormat="0" applyFill="0" applyAlignment="0" applyProtection="0"/>
    <xf numFmtId="0" fontId="82" fillId="0" borderId="7" applyNumberFormat="0" applyFill="0" applyAlignment="0" applyProtection="0"/>
    <xf numFmtId="0" fontId="83" fillId="0" borderId="8"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31" borderId="1" applyNumberFormat="0" applyAlignment="0" applyProtection="0"/>
    <xf numFmtId="10" fontId="2" fillId="32" borderId="9" applyNumberFormat="0" applyBorder="0" applyAlignment="0" applyProtection="0"/>
    <xf numFmtId="173" fontId="0" fillId="0" borderId="0" applyFill="0" applyBorder="0" applyAlignment="0">
      <protection/>
    </xf>
    <xf numFmtId="174" fontId="0" fillId="0" borderId="0" applyFill="0" applyBorder="0" applyAlignment="0">
      <protection/>
    </xf>
    <xf numFmtId="173" fontId="0" fillId="0" borderId="0" applyFill="0" applyBorder="0" applyAlignment="0">
      <protection/>
    </xf>
    <xf numFmtId="178" fontId="0" fillId="0" borderId="0" applyFill="0" applyBorder="0" applyAlignment="0">
      <protection/>
    </xf>
    <xf numFmtId="174" fontId="0" fillId="0" borderId="0" applyFill="0" applyBorder="0" applyAlignment="0">
      <protection/>
    </xf>
    <xf numFmtId="0" fontId="87" fillId="0" borderId="10" applyNumberFormat="0" applyFill="0" applyAlignment="0" applyProtection="0"/>
    <xf numFmtId="38" fontId="18" fillId="0" borderId="0" applyFont="0" applyFill="0" applyBorder="0" applyAlignment="0" applyProtection="0"/>
    <xf numFmtId="197" fontId="0" fillId="0" borderId="0" applyFont="0" applyFill="0" applyBorder="0" applyAlignment="0" applyProtection="0"/>
    <xf numFmtId="0" fontId="18" fillId="0" borderId="0" applyFont="0" applyFill="0" applyBorder="0" applyAlignment="0" applyProtection="0"/>
    <xf numFmtId="198" fontId="0" fillId="0" borderId="0" applyFont="0" applyFill="0" applyBorder="0" applyAlignment="0" applyProtection="0"/>
    <xf numFmtId="0" fontId="88" fillId="33" borderId="0" applyNumberFormat="0" applyBorder="0" applyAlignment="0" applyProtection="0"/>
    <xf numFmtId="181" fontId="15" fillId="0" borderId="0">
      <alignment/>
      <protection/>
    </xf>
    <xf numFmtId="0" fontId="74" fillId="0" borderId="0">
      <alignment/>
      <protection/>
    </xf>
    <xf numFmtId="0" fontId="44" fillId="0" borderId="0">
      <alignment/>
      <protection/>
    </xf>
    <xf numFmtId="0" fontId="74" fillId="0" borderId="0">
      <alignment/>
      <protection/>
    </xf>
    <xf numFmtId="0" fontId="74" fillId="0" borderId="0">
      <alignment/>
      <protection/>
    </xf>
    <xf numFmtId="0" fontId="74" fillId="0" borderId="0">
      <alignment/>
      <protection/>
    </xf>
    <xf numFmtId="39" fontId="16" fillId="34" borderId="0">
      <alignment/>
      <protection/>
    </xf>
    <xf numFmtId="0" fontId="0" fillId="0" borderId="0">
      <alignment/>
      <protection/>
    </xf>
    <xf numFmtId="0" fontId="0" fillId="0" borderId="0">
      <alignment/>
      <protection/>
    </xf>
    <xf numFmtId="0" fontId="74" fillId="0" borderId="0">
      <alignment/>
      <protection/>
    </xf>
    <xf numFmtId="0" fontId="16" fillId="0" borderId="0">
      <alignment/>
      <protection/>
    </xf>
    <xf numFmtId="0" fontId="74" fillId="0" borderId="0">
      <alignment/>
      <protection/>
    </xf>
    <xf numFmtId="0" fontId="74" fillId="0" borderId="0">
      <alignment/>
      <protection/>
    </xf>
    <xf numFmtId="0" fontId="0" fillId="0" borderId="0">
      <alignment/>
      <protection/>
    </xf>
    <xf numFmtId="0" fontId="0" fillId="0" borderId="0">
      <alignment/>
      <protection/>
    </xf>
    <xf numFmtId="0" fontId="74" fillId="0" borderId="0">
      <alignment/>
      <protection/>
    </xf>
    <xf numFmtId="0" fontId="74"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74" fillId="0" borderId="0">
      <alignment/>
      <protection/>
    </xf>
    <xf numFmtId="0" fontId="74" fillId="0" borderId="0">
      <alignment/>
      <protection/>
    </xf>
    <xf numFmtId="0" fontId="38" fillId="0" borderId="0">
      <alignment/>
      <protection/>
    </xf>
    <xf numFmtId="0" fontId="40" fillId="0" borderId="0" applyNumberFormat="0" applyFill="0" applyBorder="0" applyProtection="0">
      <alignment vertical="top" wrapText="1"/>
    </xf>
    <xf numFmtId="0" fontId="74" fillId="0" borderId="0">
      <alignment/>
      <protection/>
    </xf>
    <xf numFmtId="0" fontId="0" fillId="0" borderId="0" applyNumberFormat="0">
      <alignment/>
      <protection/>
    </xf>
    <xf numFmtId="0" fontId="0" fillId="0" borderId="0">
      <alignment/>
      <protection/>
    </xf>
    <xf numFmtId="0" fontId="45" fillId="0" borderId="0">
      <alignment/>
      <protection/>
    </xf>
    <xf numFmtId="0" fontId="0" fillId="35" borderId="11" applyNumberFormat="0" applyFont="0" applyAlignment="0" applyProtection="0"/>
    <xf numFmtId="0" fontId="89" fillId="27" borderId="12" applyNumberFormat="0" applyAlignment="0" applyProtection="0"/>
    <xf numFmtId="9" fontId="0" fillId="0" borderId="0" applyFont="0" applyFill="0" applyBorder="0" applyAlignment="0" applyProtection="0"/>
    <xf numFmtId="177" fontId="0" fillId="0" borderId="0" applyFont="0" applyFill="0" applyBorder="0" applyAlignment="0" applyProtection="0"/>
    <xf numFmtId="182"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8"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18" fillId="0" borderId="0" applyFont="0" applyFill="0" applyBorder="0" applyAlignment="0" applyProtection="0"/>
    <xf numFmtId="173" fontId="0" fillId="0" borderId="0" applyFill="0" applyBorder="0" applyAlignment="0">
      <protection/>
    </xf>
    <xf numFmtId="174" fontId="0" fillId="0" borderId="0" applyFill="0" applyBorder="0" applyAlignment="0">
      <protection/>
    </xf>
    <xf numFmtId="173" fontId="0" fillId="0" borderId="0" applyFill="0" applyBorder="0" applyAlignment="0">
      <protection/>
    </xf>
    <xf numFmtId="178" fontId="0" fillId="0" borderId="0" applyFill="0" applyBorder="0" applyAlignment="0">
      <protection/>
    </xf>
    <xf numFmtId="174" fontId="0" fillId="0" borderId="0" applyFill="0" applyBorder="0" applyAlignment="0">
      <protection/>
    </xf>
    <xf numFmtId="10" fontId="45" fillId="0" borderId="13" applyFont="0" applyFill="0" applyBorder="0" applyAlignment="0" applyProtection="0"/>
    <xf numFmtId="2" fontId="18" fillId="0" borderId="14">
      <alignment/>
      <protection/>
    </xf>
    <xf numFmtId="0" fontId="48" fillId="0" borderId="0">
      <alignment/>
      <protection/>
    </xf>
    <xf numFmtId="0" fontId="4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49" fillId="36" borderId="0" applyNumberFormat="0" applyProtection="0">
      <alignment/>
    </xf>
    <xf numFmtId="0" fontId="50" fillId="0" borderId="0">
      <alignment/>
      <protection locked="0"/>
    </xf>
    <xf numFmtId="49" fontId="14" fillId="0" borderId="0" applyFill="0" applyBorder="0" applyAlignment="0">
      <protection/>
    </xf>
    <xf numFmtId="183" fontId="0" fillId="0" borderId="0" applyFill="0" applyBorder="0" applyAlignment="0">
      <protection/>
    </xf>
    <xf numFmtId="184" fontId="0" fillId="0" borderId="0" applyFill="0" applyBorder="0" applyAlignment="0">
      <protection/>
    </xf>
    <xf numFmtId="40" fontId="19" fillId="0" borderId="0">
      <alignment/>
      <protection/>
    </xf>
    <xf numFmtId="0" fontId="90" fillId="0" borderId="0" applyNumberFormat="0" applyFill="0" applyBorder="0" applyAlignment="0" applyProtection="0"/>
    <xf numFmtId="0" fontId="91" fillId="0" borderId="15" applyNumberFormat="0" applyFill="0" applyAlignment="0" applyProtection="0"/>
    <xf numFmtId="0" fontId="20" fillId="0" borderId="0">
      <alignment vertical="top"/>
      <protection/>
    </xf>
    <xf numFmtId="201" fontId="0" fillId="0" borderId="0" applyFont="0" applyFill="0" applyBorder="0" applyAlignment="0" applyProtection="0"/>
    <xf numFmtId="202" fontId="0" fillId="0" borderId="0" applyFont="0" applyFill="0" applyBorder="0" applyAlignment="0" applyProtection="0"/>
    <xf numFmtId="0" fontId="92" fillId="0" borderId="0" applyNumberFormat="0" applyFill="0" applyBorder="0" applyAlignment="0" applyProtection="0"/>
    <xf numFmtId="1" fontId="0" fillId="0" borderId="0" applyFont="0" applyFill="0" applyBorder="0" applyAlignment="0" applyProtection="0"/>
  </cellStyleXfs>
  <cellXfs count="598">
    <xf numFmtId="0" fontId="0" fillId="0" borderId="0" xfId="0" applyAlignment="1">
      <alignment/>
    </xf>
    <xf numFmtId="0" fontId="2" fillId="0" borderId="0" xfId="0" applyFont="1" applyAlignment="1">
      <alignment/>
    </xf>
    <xf numFmtId="0" fontId="2" fillId="0" borderId="0" xfId="0" applyFont="1" applyFill="1" applyAlignment="1">
      <alignment/>
    </xf>
    <xf numFmtId="0" fontId="3" fillId="37" borderId="0" xfId="0" applyFont="1" applyFill="1" applyAlignment="1">
      <alignment/>
    </xf>
    <xf numFmtId="0" fontId="4" fillId="30" borderId="0" xfId="0" applyFont="1" applyFill="1" applyAlignment="1">
      <alignment/>
    </xf>
    <xf numFmtId="2" fontId="2" fillId="0" borderId="0" xfId="0" applyNumberFormat="1" applyFont="1" applyFill="1" applyBorder="1" applyAlignment="1">
      <alignment/>
    </xf>
    <xf numFmtId="0" fontId="2" fillId="0" borderId="0" xfId="0" applyFont="1" applyBorder="1" applyAlignment="1">
      <alignment/>
    </xf>
    <xf numFmtId="164" fontId="2" fillId="0" borderId="0" xfId="0" applyNumberFormat="1" applyFont="1" applyBorder="1" applyAlignment="1">
      <alignment/>
    </xf>
    <xf numFmtId="0" fontId="4" fillId="0" borderId="0" xfId="0" applyFont="1" applyFill="1" applyAlignment="1">
      <alignment/>
    </xf>
    <xf numFmtId="0" fontId="2" fillId="0" borderId="0" xfId="0" applyFont="1" applyFill="1" applyBorder="1" applyAlignment="1">
      <alignment/>
    </xf>
    <xf numFmtId="165" fontId="2" fillId="0" borderId="0" xfId="51" applyNumberFormat="1" applyFont="1" applyAlignment="1">
      <alignment/>
    </xf>
    <xf numFmtId="0" fontId="4" fillId="0" borderId="0" xfId="0" applyFont="1" applyFill="1" applyBorder="1" applyAlignment="1">
      <alignment/>
    </xf>
    <xf numFmtId="0" fontId="4" fillId="0" borderId="0" xfId="0" applyFont="1" applyAlignment="1">
      <alignment/>
    </xf>
    <xf numFmtId="0" fontId="2" fillId="0" borderId="0" xfId="0" applyFont="1" applyAlignment="1">
      <alignment horizontal="left" indent="1"/>
    </xf>
    <xf numFmtId="164" fontId="2" fillId="0" borderId="0" xfId="0" applyNumberFormat="1" applyFont="1" applyAlignment="1">
      <alignment/>
    </xf>
    <xf numFmtId="164" fontId="4" fillId="0" borderId="0" xfId="0" applyNumberFormat="1" applyFont="1" applyAlignment="1">
      <alignment/>
    </xf>
    <xf numFmtId="43" fontId="2" fillId="0" borderId="0" xfId="0" applyNumberFormat="1" applyFont="1" applyAlignment="1">
      <alignment/>
    </xf>
    <xf numFmtId="0" fontId="4" fillId="0" borderId="5" xfId="0" applyFont="1" applyBorder="1" applyAlignment="1">
      <alignment/>
    </xf>
    <xf numFmtId="164" fontId="4" fillId="0" borderId="5" xfId="0" applyNumberFormat="1" applyFont="1" applyBorder="1" applyAlignment="1">
      <alignment/>
    </xf>
    <xf numFmtId="0" fontId="3" fillId="0" borderId="0" xfId="0" applyFont="1" applyFill="1" applyAlignment="1">
      <alignment/>
    </xf>
    <xf numFmtId="9" fontId="5" fillId="0" borderId="0" xfId="0" applyNumberFormat="1" applyFont="1" applyAlignment="1">
      <alignment/>
    </xf>
    <xf numFmtId="2" fontId="2" fillId="0" borderId="0" xfId="0" applyNumberFormat="1" applyFont="1" applyAlignment="1">
      <alignment/>
    </xf>
    <xf numFmtId="9" fontId="5" fillId="0" borderId="0" xfId="153" applyFont="1" applyAlignment="1">
      <alignment/>
    </xf>
    <xf numFmtId="0" fontId="2" fillId="30" borderId="0" xfId="0" applyFont="1" applyFill="1" applyAlignment="1">
      <alignment/>
    </xf>
    <xf numFmtId="9" fontId="6" fillId="0" borderId="5" xfId="0" applyNumberFormat="1" applyFont="1" applyBorder="1" applyAlignment="1">
      <alignment/>
    </xf>
    <xf numFmtId="9" fontId="2" fillId="0" borderId="0" xfId="153" applyFont="1" applyAlignment="1">
      <alignment/>
    </xf>
    <xf numFmtId="166" fontId="2" fillId="0" borderId="0" xfId="153" applyNumberFormat="1" applyFont="1" applyAlignment="1">
      <alignment/>
    </xf>
    <xf numFmtId="166" fontId="2" fillId="0" borderId="0" xfId="0" applyNumberFormat="1" applyFont="1" applyAlignment="1">
      <alignment/>
    </xf>
    <xf numFmtId="167" fontId="2" fillId="0" borderId="0" xfId="51" applyNumberFormat="1" applyFont="1" applyAlignment="1">
      <alignment/>
    </xf>
    <xf numFmtId="167" fontId="4" fillId="0" borderId="5" xfId="51" applyNumberFormat="1" applyFont="1" applyBorder="1" applyAlignment="1">
      <alignment/>
    </xf>
    <xf numFmtId="0" fontId="4" fillId="0" borderId="0" xfId="0" applyFont="1" applyBorder="1" applyAlignment="1">
      <alignment/>
    </xf>
    <xf numFmtId="167" fontId="4" fillId="0" borderId="0" xfId="51" applyNumberFormat="1" applyFont="1" applyBorder="1" applyAlignment="1">
      <alignment/>
    </xf>
    <xf numFmtId="167" fontId="2" fillId="0" borderId="0" xfId="0" applyNumberFormat="1" applyFont="1" applyAlignment="1">
      <alignment/>
    </xf>
    <xf numFmtId="0" fontId="2" fillId="0" borderId="5" xfId="0" applyFont="1" applyBorder="1" applyAlignment="1">
      <alignment/>
    </xf>
    <xf numFmtId="164" fontId="2" fillId="0" borderId="5" xfId="0" applyNumberFormat="1" applyFont="1" applyBorder="1" applyAlignment="1">
      <alignment/>
    </xf>
    <xf numFmtId="0" fontId="4" fillId="0" borderId="16" xfId="0" applyFont="1" applyBorder="1" applyAlignment="1">
      <alignment/>
    </xf>
    <xf numFmtId="0" fontId="2" fillId="0" borderId="16" xfId="0" applyFont="1" applyBorder="1" applyAlignment="1">
      <alignment/>
    </xf>
    <xf numFmtId="164" fontId="2" fillId="0" borderId="16" xfId="0" applyNumberFormat="1" applyFont="1" applyBorder="1" applyAlignment="1">
      <alignment/>
    </xf>
    <xf numFmtId="168" fontId="2" fillId="0" borderId="0" xfId="0" applyNumberFormat="1" applyFont="1" applyAlignment="1">
      <alignment/>
    </xf>
    <xf numFmtId="164" fontId="4" fillId="0" borderId="16" xfId="0" applyNumberFormat="1" applyFont="1" applyBorder="1" applyAlignment="1">
      <alignment/>
    </xf>
    <xf numFmtId="169" fontId="2" fillId="0" borderId="0" xfId="0" applyNumberFormat="1" applyFont="1" applyAlignment="1">
      <alignment/>
    </xf>
    <xf numFmtId="0" fontId="4" fillId="30" borderId="0" xfId="0" applyFont="1" applyFill="1" applyBorder="1" applyAlignment="1">
      <alignment/>
    </xf>
    <xf numFmtId="0" fontId="2" fillId="30" borderId="0" xfId="0" applyFont="1" applyFill="1" applyBorder="1" applyAlignment="1">
      <alignment/>
    </xf>
    <xf numFmtId="0" fontId="4" fillId="30" borderId="0" xfId="0" applyFont="1" applyFill="1" applyBorder="1" applyAlignment="1">
      <alignment/>
    </xf>
    <xf numFmtId="0" fontId="3" fillId="37" borderId="17" xfId="0" applyFont="1" applyFill="1" applyBorder="1" applyAlignment="1">
      <alignment/>
    </xf>
    <xf numFmtId="0" fontId="3" fillId="37" borderId="0" xfId="0" applyFont="1" applyFill="1" applyBorder="1" applyAlignment="1">
      <alignment/>
    </xf>
    <xf numFmtId="167" fontId="5" fillId="0" borderId="0" xfId="51" applyNumberFormat="1" applyFont="1" applyAlignment="1">
      <alignment/>
    </xf>
    <xf numFmtId="167" fontId="2" fillId="0" borderId="0" xfId="51" applyNumberFormat="1" applyFont="1" applyFill="1" applyBorder="1" applyAlignment="1">
      <alignment/>
    </xf>
    <xf numFmtId="0" fontId="4" fillId="0" borderId="16" xfId="0" applyFont="1" applyFill="1" applyBorder="1" applyAlignment="1">
      <alignment/>
    </xf>
    <xf numFmtId="167" fontId="4" fillId="0" borderId="16" xfId="51" applyNumberFormat="1" applyFont="1" applyFill="1" applyBorder="1" applyAlignment="1">
      <alignment/>
    </xf>
    <xf numFmtId="0" fontId="4" fillId="0" borderId="5" xfId="0" applyFont="1" applyFill="1" applyBorder="1" applyAlignment="1">
      <alignment/>
    </xf>
    <xf numFmtId="167" fontId="4" fillId="0" borderId="5" xfId="51" applyNumberFormat="1" applyFont="1" applyFill="1" applyBorder="1" applyAlignment="1">
      <alignment/>
    </xf>
    <xf numFmtId="166" fontId="2" fillId="0" borderId="0" xfId="0" applyNumberFormat="1" applyFont="1" applyFill="1" applyBorder="1" applyAlignment="1">
      <alignment/>
    </xf>
    <xf numFmtId="0" fontId="2" fillId="0" borderId="9" xfId="0" applyFont="1" applyBorder="1" applyAlignment="1">
      <alignment/>
    </xf>
    <xf numFmtId="164" fontId="2" fillId="0" borderId="9" xfId="0" applyNumberFormat="1" applyFont="1" applyBorder="1" applyAlignment="1">
      <alignment/>
    </xf>
    <xf numFmtId="9" fontId="2" fillId="0" borderId="5" xfId="153" applyFont="1" applyBorder="1" applyAlignment="1">
      <alignment/>
    </xf>
    <xf numFmtId="43" fontId="2" fillId="0" borderId="5" xfId="0" applyNumberFormat="1" applyFont="1" applyBorder="1" applyAlignment="1">
      <alignment/>
    </xf>
    <xf numFmtId="0" fontId="2" fillId="0" borderId="0" xfId="107" applyFont="1" applyAlignment="1" applyProtection="1">
      <alignment/>
      <protection/>
    </xf>
    <xf numFmtId="166" fontId="2" fillId="0" borderId="5" xfId="153" applyNumberFormat="1" applyFont="1" applyBorder="1" applyAlignment="1">
      <alignment/>
    </xf>
    <xf numFmtId="167" fontId="4" fillId="0" borderId="5" xfId="0" applyNumberFormat="1" applyFont="1" applyBorder="1" applyAlignment="1">
      <alignment/>
    </xf>
    <xf numFmtId="9" fontId="2" fillId="0" borderId="0" xfId="153" applyFont="1" applyBorder="1" applyAlignment="1">
      <alignment/>
    </xf>
    <xf numFmtId="166" fontId="2" fillId="0" borderId="0" xfId="153" applyNumberFormat="1" applyFont="1" applyBorder="1" applyAlignment="1">
      <alignment/>
    </xf>
    <xf numFmtId="9" fontId="4" fillId="0" borderId="0" xfId="0" applyNumberFormat="1" applyFont="1" applyBorder="1" applyAlignment="1">
      <alignment/>
    </xf>
    <xf numFmtId="10" fontId="2" fillId="0" borderId="0" xfId="0" applyNumberFormat="1" applyFont="1" applyBorder="1" applyAlignment="1">
      <alignment/>
    </xf>
    <xf numFmtId="164" fontId="4" fillId="0" borderId="0" xfId="0" applyNumberFormat="1" applyFont="1" applyBorder="1" applyAlignment="1">
      <alignment/>
    </xf>
    <xf numFmtId="0" fontId="0" fillId="0" borderId="0" xfId="0" applyBorder="1" applyAlignment="1">
      <alignment/>
    </xf>
    <xf numFmtId="0" fontId="0" fillId="0" borderId="0" xfId="0" applyFill="1" applyAlignment="1">
      <alignment/>
    </xf>
    <xf numFmtId="0" fontId="0" fillId="0" borderId="0" xfId="0" applyFont="1" applyAlignment="1">
      <alignment/>
    </xf>
    <xf numFmtId="9" fontId="2" fillId="0" borderId="0" xfId="0" applyNumberFormat="1" applyFont="1" applyAlignment="1">
      <alignment/>
    </xf>
    <xf numFmtId="0" fontId="22" fillId="0" borderId="0" xfId="0" applyFont="1" applyAlignment="1">
      <alignment/>
    </xf>
    <xf numFmtId="0" fontId="3" fillId="0" borderId="0" xfId="0" applyFont="1" applyFill="1" applyBorder="1" applyAlignment="1">
      <alignment/>
    </xf>
    <xf numFmtId="0" fontId="2" fillId="30" borderId="0" xfId="134" applyFont="1" applyFill="1" applyBorder="1">
      <alignment/>
      <protection/>
    </xf>
    <xf numFmtId="172" fontId="2" fillId="30" borderId="0" xfId="134" applyNumberFormat="1" applyFont="1" applyFill="1" applyBorder="1">
      <alignment/>
      <protection/>
    </xf>
    <xf numFmtId="0" fontId="4" fillId="30" borderId="0" xfId="134" applyNumberFormat="1" applyFont="1" applyFill="1" applyBorder="1">
      <alignment/>
      <protection/>
    </xf>
    <xf numFmtId="0" fontId="4" fillId="0" borderId="0" xfId="134" applyNumberFormat="1" applyFont="1" applyFill="1" applyBorder="1">
      <alignment/>
      <protection/>
    </xf>
    <xf numFmtId="0" fontId="0" fillId="0" borderId="0" xfId="0" applyFill="1" applyBorder="1" applyAlignment="1">
      <alignment/>
    </xf>
    <xf numFmtId="166" fontId="2" fillId="0" borderId="0" xfId="51" applyNumberFormat="1" applyFont="1" applyAlignment="1">
      <alignment/>
    </xf>
    <xf numFmtId="166" fontId="7" fillId="0" borderId="0" xfId="0" applyNumberFormat="1" applyFont="1" applyFill="1" applyBorder="1" applyAlignment="1">
      <alignment/>
    </xf>
    <xf numFmtId="43" fontId="4" fillId="0" borderId="5" xfId="51" applyNumberFormat="1" applyFont="1" applyFill="1" applyBorder="1" applyAlignment="1">
      <alignment/>
    </xf>
    <xf numFmtId="0" fontId="4" fillId="0" borderId="9" xfId="0" applyFont="1" applyFill="1" applyBorder="1" applyAlignment="1">
      <alignment/>
    </xf>
    <xf numFmtId="0" fontId="2" fillId="0" borderId="9" xfId="0" applyFont="1" applyFill="1" applyBorder="1" applyAlignment="1">
      <alignment/>
    </xf>
    <xf numFmtId="170" fontId="2" fillId="0" borderId="9" xfId="0" applyNumberFormat="1" applyFont="1" applyFill="1" applyBorder="1" applyAlignment="1">
      <alignment/>
    </xf>
    <xf numFmtId="170" fontId="2" fillId="0" borderId="0" xfId="0" applyNumberFormat="1" applyFont="1" applyFill="1" applyBorder="1" applyAlignment="1">
      <alignment/>
    </xf>
    <xf numFmtId="0" fontId="2" fillId="0" borderId="18" xfId="0" applyFont="1" applyFill="1" applyBorder="1" applyAlignment="1">
      <alignment/>
    </xf>
    <xf numFmtId="0" fontId="4" fillId="0" borderId="17" xfId="0" applyFont="1" applyFill="1" applyBorder="1" applyAlignment="1">
      <alignment/>
    </xf>
    <xf numFmtId="0" fontId="2" fillId="0" borderId="19" xfId="0" applyFont="1" applyFill="1" applyBorder="1" applyAlignment="1">
      <alignment/>
    </xf>
    <xf numFmtId="0" fontId="2" fillId="0" borderId="5" xfId="0" applyFont="1" applyFill="1" applyBorder="1" applyAlignment="1">
      <alignment/>
    </xf>
    <xf numFmtId="167" fontId="4" fillId="0" borderId="5" xfId="0" applyNumberFormat="1" applyFont="1" applyFill="1" applyBorder="1" applyAlignment="1">
      <alignment/>
    </xf>
    <xf numFmtId="164" fontId="4" fillId="0" borderId="5" xfId="0" applyNumberFormat="1" applyFont="1" applyFill="1" applyBorder="1" applyAlignment="1">
      <alignment/>
    </xf>
    <xf numFmtId="167" fontId="2" fillId="0" borderId="0" xfId="51" applyNumberFormat="1" applyFont="1" applyFill="1" applyAlignment="1">
      <alignment/>
    </xf>
    <xf numFmtId="167" fontId="2" fillId="0" borderId="5" xfId="51" applyNumberFormat="1" applyFont="1" applyFill="1" applyBorder="1" applyAlignment="1">
      <alignment/>
    </xf>
    <xf numFmtId="0" fontId="23" fillId="0" borderId="9" xfId="0" applyFont="1" applyFill="1" applyBorder="1" applyAlignment="1">
      <alignment/>
    </xf>
    <xf numFmtId="0" fontId="23" fillId="0" borderId="5" xfId="0" applyFont="1" applyFill="1" applyBorder="1" applyAlignment="1">
      <alignment/>
    </xf>
    <xf numFmtId="167" fontId="23" fillId="0" borderId="5" xfId="51" applyNumberFormat="1" applyFont="1" applyFill="1" applyBorder="1" applyAlignment="1">
      <alignment/>
    </xf>
    <xf numFmtId="0" fontId="24" fillId="0" borderId="0" xfId="0" applyFont="1" applyFill="1" applyAlignment="1">
      <alignment/>
    </xf>
    <xf numFmtId="0" fontId="4" fillId="0" borderId="0" xfId="0" applyFont="1" applyFill="1" applyBorder="1" applyAlignment="1">
      <alignment/>
    </xf>
    <xf numFmtId="167" fontId="2" fillId="0" borderId="0" xfId="0" applyNumberFormat="1" applyFont="1" applyFill="1" applyAlignment="1">
      <alignment/>
    </xf>
    <xf numFmtId="170" fontId="2" fillId="0" borderId="19" xfId="0" applyNumberFormat="1" applyFont="1" applyFill="1" applyBorder="1" applyAlignment="1">
      <alignment/>
    </xf>
    <xf numFmtId="169" fontId="2" fillId="0" borderId="0" xfId="0" applyNumberFormat="1" applyFont="1" applyFill="1" applyAlignment="1">
      <alignment/>
    </xf>
    <xf numFmtId="170" fontId="2" fillId="0" borderId="5" xfId="0" applyNumberFormat="1" applyFont="1" applyFill="1" applyBorder="1" applyAlignment="1">
      <alignment/>
    </xf>
    <xf numFmtId="168" fontId="2" fillId="0" borderId="0" xfId="0" applyNumberFormat="1" applyFont="1" applyFill="1" applyAlignment="1">
      <alignment/>
    </xf>
    <xf numFmtId="164" fontId="2" fillId="0" borderId="0" xfId="0" applyNumberFormat="1" applyFont="1" applyFill="1" applyAlignment="1">
      <alignment/>
    </xf>
    <xf numFmtId="170" fontId="4" fillId="0" borderId="9" xfId="0" applyNumberFormat="1" applyFont="1" applyFill="1" applyBorder="1" applyAlignment="1">
      <alignment/>
    </xf>
    <xf numFmtId="170" fontId="4" fillId="0" borderId="5" xfId="0" applyNumberFormat="1" applyFont="1" applyFill="1" applyBorder="1" applyAlignment="1">
      <alignment/>
    </xf>
    <xf numFmtId="0" fontId="21" fillId="0" borderId="9" xfId="0" applyFont="1" applyFill="1" applyBorder="1" applyAlignment="1">
      <alignment/>
    </xf>
    <xf numFmtId="0" fontId="93" fillId="38" borderId="0" xfId="0" applyFont="1" applyFill="1" applyBorder="1" applyAlignment="1">
      <alignment/>
    </xf>
    <xf numFmtId="2" fontId="93" fillId="38" borderId="0" xfId="0" applyNumberFormat="1" applyFont="1" applyFill="1" applyBorder="1" applyAlignment="1">
      <alignment/>
    </xf>
    <xf numFmtId="0" fontId="2" fillId="0" borderId="0" xfId="129" applyFont="1" applyBorder="1">
      <alignment/>
      <protection/>
    </xf>
    <xf numFmtId="0" fontId="25" fillId="0" borderId="0" xfId="129" applyFont="1" applyBorder="1">
      <alignment/>
      <protection/>
    </xf>
    <xf numFmtId="0" fontId="94" fillId="0" borderId="0" xfId="129" applyFont="1" applyBorder="1">
      <alignment/>
      <protection/>
    </xf>
    <xf numFmtId="43" fontId="2" fillId="0" borderId="0" xfId="62" applyFont="1" applyBorder="1" applyAlignment="1">
      <alignment/>
    </xf>
    <xf numFmtId="0" fontId="11" fillId="0" borderId="0" xfId="129" applyFont="1" applyBorder="1">
      <alignment/>
      <protection/>
    </xf>
    <xf numFmtId="0" fontId="2" fillId="0" borderId="0" xfId="129" applyFont="1" applyFill="1" applyBorder="1" applyAlignment="1">
      <alignment horizontal="left"/>
      <protection/>
    </xf>
    <xf numFmtId="0" fontId="2" fillId="0" borderId="0" xfId="129" applyFont="1" applyBorder="1" applyAlignment="1">
      <alignment horizontal="left"/>
      <protection/>
    </xf>
    <xf numFmtId="0" fontId="3" fillId="37" borderId="0" xfId="0" applyFont="1" applyFill="1" applyBorder="1" applyAlignment="1">
      <alignment/>
    </xf>
    <xf numFmtId="10" fontId="2" fillId="0" borderId="0" xfId="129" applyNumberFormat="1" applyFont="1" applyBorder="1">
      <alignment/>
      <protection/>
    </xf>
    <xf numFmtId="0" fontId="11" fillId="0" borderId="0" xfId="129" applyFont="1" applyBorder="1" applyAlignment="1">
      <alignment horizontal="left"/>
      <protection/>
    </xf>
    <xf numFmtId="0" fontId="9" fillId="0" borderId="0" xfId="129" applyFont="1" applyBorder="1">
      <alignment/>
      <protection/>
    </xf>
    <xf numFmtId="43" fontId="95" fillId="0" borderId="0" xfId="62" applyFont="1" applyBorder="1" applyAlignment="1">
      <alignment horizontal="right" vertical="center"/>
    </xf>
    <xf numFmtId="0" fontId="3" fillId="0" borderId="0" xfId="0" applyFont="1" applyFill="1" applyBorder="1" applyAlignment="1">
      <alignment/>
    </xf>
    <xf numFmtId="0" fontId="4" fillId="0" borderId="0" xfId="129" applyFont="1" applyBorder="1">
      <alignment/>
      <protection/>
    </xf>
    <xf numFmtId="0" fontId="23" fillId="0" borderId="0" xfId="0" applyFont="1" applyAlignment="1">
      <alignment/>
    </xf>
    <xf numFmtId="167" fontId="23" fillId="0" borderId="0" xfId="51" applyNumberFormat="1" applyFont="1" applyFill="1" applyBorder="1" applyAlignment="1">
      <alignment/>
    </xf>
    <xf numFmtId="0" fontId="24" fillId="0" borderId="0" xfId="0" applyFont="1" applyAlignment="1">
      <alignment/>
    </xf>
    <xf numFmtId="43" fontId="4" fillId="0" borderId="0" xfId="62" applyFont="1" applyBorder="1" applyAlignment="1">
      <alignment/>
    </xf>
    <xf numFmtId="0" fontId="21" fillId="0" borderId="0" xfId="129" applyFont="1" applyBorder="1">
      <alignment/>
      <protection/>
    </xf>
    <xf numFmtId="43" fontId="21" fillId="0" borderId="0" xfId="62" applyFont="1" applyBorder="1" applyAlignment="1">
      <alignment/>
    </xf>
    <xf numFmtId="0" fontId="4" fillId="0" borderId="0" xfId="129" applyFont="1" applyBorder="1" applyAlignment="1">
      <alignment horizontal="left"/>
      <protection/>
    </xf>
    <xf numFmtId="0" fontId="21" fillId="0" borderId="0" xfId="0" applyFont="1" applyAlignment="1">
      <alignment/>
    </xf>
    <xf numFmtId="0" fontId="96" fillId="0" borderId="0" xfId="0" applyFont="1" applyAlignment="1">
      <alignment/>
    </xf>
    <xf numFmtId="167" fontId="21" fillId="0" borderId="0" xfId="0" applyNumberFormat="1" applyFont="1" applyAlignment="1">
      <alignment/>
    </xf>
    <xf numFmtId="0" fontId="27" fillId="0" borderId="0" xfId="0" applyFont="1" applyAlignment="1">
      <alignment/>
    </xf>
    <xf numFmtId="169" fontId="4" fillId="0" borderId="5" xfId="0" applyNumberFormat="1" applyFont="1" applyBorder="1" applyAlignment="1">
      <alignment/>
    </xf>
    <xf numFmtId="0" fontId="93" fillId="39" borderId="0" xfId="0" applyFont="1" applyFill="1" applyAlignment="1">
      <alignment/>
    </xf>
    <xf numFmtId="0" fontId="97" fillId="39" borderId="0" xfId="0" applyFont="1" applyFill="1" applyAlignment="1">
      <alignment/>
    </xf>
    <xf numFmtId="0" fontId="0" fillId="0" borderId="0" xfId="0" applyFill="1" applyBorder="1" applyAlignment="1">
      <alignment horizontal="left" vertical="center"/>
    </xf>
    <xf numFmtId="0" fontId="22" fillId="0" borderId="0" xfId="0" applyFont="1" applyFill="1" applyBorder="1" applyAlignment="1">
      <alignment/>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10" fillId="0" borderId="22" xfId="134" applyFont="1" applyFill="1" applyBorder="1" applyAlignment="1">
      <alignment horizontal="center" vertical="center" wrapText="1"/>
      <protection/>
    </xf>
    <xf numFmtId="172" fontId="2" fillId="0" borderId="23" xfId="134" applyNumberFormat="1" applyFont="1" applyFill="1" applyBorder="1" applyAlignment="1">
      <alignment horizontal="left" vertical="center"/>
      <protection/>
    </xf>
    <xf numFmtId="168" fontId="8" fillId="0" borderId="23" xfId="134" applyNumberFormat="1" applyFont="1" applyBorder="1" applyAlignment="1">
      <alignment/>
      <protection/>
    </xf>
    <xf numFmtId="168" fontId="8" fillId="0" borderId="24" xfId="134" applyNumberFormat="1" applyFont="1" applyFill="1" applyBorder="1" applyAlignment="1">
      <alignment/>
      <protection/>
    </xf>
    <xf numFmtId="168" fontId="10" fillId="40" borderId="23" xfId="134" applyNumberFormat="1" applyFont="1" applyFill="1" applyBorder="1" applyAlignment="1">
      <alignment/>
      <protection/>
    </xf>
    <xf numFmtId="168" fontId="10" fillId="30" borderId="24" xfId="134" applyNumberFormat="1" applyFont="1" applyFill="1" applyBorder="1" applyAlignment="1">
      <alignment/>
      <protection/>
    </xf>
    <xf numFmtId="0" fontId="4" fillId="40" borderId="23" xfId="134" applyNumberFormat="1" applyFont="1" applyFill="1" applyBorder="1" applyAlignment="1">
      <alignment horizontal="left" vertical="center"/>
      <protection/>
    </xf>
    <xf numFmtId="0" fontId="26" fillId="0" borderId="25" xfId="0" applyFont="1" applyBorder="1" applyAlignment="1">
      <alignment/>
    </xf>
    <xf numFmtId="0" fontId="26" fillId="0" borderId="0" xfId="0" applyFont="1" applyBorder="1" applyAlignment="1">
      <alignment/>
    </xf>
    <xf numFmtId="0" fontId="10" fillId="0" borderId="21" xfId="134" applyFont="1" applyFill="1" applyBorder="1" applyAlignment="1">
      <alignment horizontal="center" vertical="center" wrapText="1"/>
      <protection/>
    </xf>
    <xf numFmtId="168" fontId="28" fillId="0" borderId="25" xfId="134" applyNumberFormat="1" applyFont="1" applyFill="1" applyBorder="1" applyAlignment="1">
      <alignment/>
      <protection/>
    </xf>
    <xf numFmtId="172" fontId="98" fillId="0" borderId="23" xfId="134" applyNumberFormat="1" applyFont="1" applyFill="1" applyBorder="1" applyAlignment="1">
      <alignment horizontal="left" vertical="center"/>
      <protection/>
    </xf>
    <xf numFmtId="168" fontId="98" fillId="0" borderId="23" xfId="134" applyNumberFormat="1" applyFont="1" applyBorder="1" applyAlignment="1">
      <alignment/>
      <protection/>
    </xf>
    <xf numFmtId="168" fontId="98" fillId="0" borderId="24" xfId="134" applyNumberFormat="1" applyFont="1" applyFill="1" applyBorder="1" applyAlignment="1">
      <alignment/>
      <protection/>
    </xf>
    <xf numFmtId="0" fontId="99" fillId="40" borderId="23" xfId="134" applyNumberFormat="1" applyFont="1" applyFill="1" applyBorder="1" applyAlignment="1">
      <alignment horizontal="left" vertical="center"/>
      <protection/>
    </xf>
    <xf numFmtId="168" fontId="99" fillId="40" borderId="23" xfId="134" applyNumberFormat="1" applyFont="1" applyFill="1" applyBorder="1" applyAlignment="1">
      <alignment/>
      <protection/>
    </xf>
    <xf numFmtId="168" fontId="99" fillId="30" borderId="24" xfId="134" applyNumberFormat="1" applyFont="1" applyFill="1" applyBorder="1" applyAlignment="1">
      <alignment/>
      <protection/>
    </xf>
    <xf numFmtId="2" fontId="2" fillId="0" borderId="0" xfId="0" applyNumberFormat="1" applyFont="1" applyFill="1" applyBorder="1" applyAlignment="1">
      <alignment horizontal="left" indent="1"/>
    </xf>
    <xf numFmtId="2" fontId="2" fillId="8" borderId="0" xfId="0" applyNumberFormat="1" applyFont="1" applyFill="1" applyAlignment="1">
      <alignment/>
    </xf>
    <xf numFmtId="43" fontId="2" fillId="0" borderId="0" xfId="129" applyNumberFormat="1" applyFont="1" applyBorder="1">
      <alignment/>
      <protection/>
    </xf>
    <xf numFmtId="2" fontId="4" fillId="8" borderId="5" xfId="0" applyNumberFormat="1" applyFont="1" applyFill="1" applyBorder="1" applyAlignment="1">
      <alignment/>
    </xf>
    <xf numFmtId="171" fontId="0" fillId="0" borderId="0" xfId="0" applyNumberFormat="1" applyAlignment="1">
      <alignment/>
    </xf>
    <xf numFmtId="43" fontId="0" fillId="0" borderId="0" xfId="0" applyNumberFormat="1" applyAlignment="1">
      <alignment/>
    </xf>
    <xf numFmtId="167" fontId="0" fillId="0" borderId="0" xfId="0" applyNumberFormat="1" applyAlignment="1">
      <alignment/>
    </xf>
    <xf numFmtId="1" fontId="2" fillId="0" borderId="0" xfId="0" applyNumberFormat="1" applyFont="1" applyFill="1" applyAlignment="1">
      <alignment/>
    </xf>
    <xf numFmtId="166" fontId="2" fillId="0" borderId="0" xfId="129" applyNumberFormat="1" applyFont="1" applyBorder="1">
      <alignment/>
      <protection/>
    </xf>
    <xf numFmtId="9" fontId="0" fillId="0" borderId="0" xfId="0" applyNumberFormat="1" applyAlignment="1">
      <alignment/>
    </xf>
    <xf numFmtId="164" fontId="0" fillId="0" borderId="0" xfId="0" applyNumberFormat="1" applyAlignment="1">
      <alignment/>
    </xf>
    <xf numFmtId="166" fontId="2" fillId="0" borderId="0" xfId="0" applyNumberFormat="1" applyFont="1" applyBorder="1" applyAlignment="1">
      <alignment/>
    </xf>
    <xf numFmtId="9" fontId="22" fillId="0" borderId="0" xfId="153" applyFont="1" applyAlignment="1">
      <alignment/>
    </xf>
    <xf numFmtId="167" fontId="0" fillId="0" borderId="0" xfId="51" applyNumberFormat="1" applyFont="1" applyBorder="1" applyAlignment="1">
      <alignment/>
    </xf>
    <xf numFmtId="41" fontId="2" fillId="0" borderId="0" xfId="62" applyNumberFormat="1" applyFont="1" applyBorder="1" applyAlignment="1">
      <alignment/>
    </xf>
    <xf numFmtId="2" fontId="2" fillId="0" borderId="0" xfId="62" applyNumberFormat="1" applyFont="1" applyBorder="1" applyAlignment="1">
      <alignment/>
    </xf>
    <xf numFmtId="0" fontId="2" fillId="41" borderId="0" xfId="0" applyFont="1" applyFill="1" applyAlignment="1">
      <alignment/>
    </xf>
    <xf numFmtId="1" fontId="2" fillId="41" borderId="0" xfId="0" applyNumberFormat="1" applyFont="1" applyFill="1" applyAlignment="1">
      <alignment/>
    </xf>
    <xf numFmtId="171" fontId="2" fillId="41" borderId="0" xfId="0" applyNumberFormat="1" applyFont="1" applyFill="1" applyAlignment="1">
      <alignment/>
    </xf>
    <xf numFmtId="0" fontId="0" fillId="41" borderId="0" xfId="0" applyFill="1" applyAlignment="1">
      <alignment/>
    </xf>
    <xf numFmtId="164" fontId="2" fillId="41" borderId="0" xfId="0" applyNumberFormat="1" applyFont="1" applyFill="1" applyAlignment="1">
      <alignment/>
    </xf>
    <xf numFmtId="0" fontId="21" fillId="0" borderId="0" xfId="0" applyFont="1" applyBorder="1" applyAlignment="1">
      <alignment/>
    </xf>
    <xf numFmtId="9" fontId="21" fillId="0" borderId="0" xfId="153" applyFont="1" applyAlignment="1">
      <alignment/>
    </xf>
    <xf numFmtId="0" fontId="2" fillId="34" borderId="0" xfId="0" applyFont="1" applyFill="1" applyAlignment="1">
      <alignment/>
    </xf>
    <xf numFmtId="171" fontId="2" fillId="0" borderId="0" xfId="0" applyNumberFormat="1" applyFont="1" applyAlignment="1">
      <alignment/>
    </xf>
    <xf numFmtId="43" fontId="2" fillId="41" borderId="0" xfId="62" applyFont="1" applyFill="1" applyBorder="1" applyAlignment="1">
      <alignment/>
    </xf>
    <xf numFmtId="43" fontId="4" fillId="41" borderId="0" xfId="62" applyFont="1" applyFill="1" applyBorder="1" applyAlignment="1">
      <alignment/>
    </xf>
    <xf numFmtId="43" fontId="100" fillId="41" borderId="0" xfId="62" applyFont="1" applyFill="1" applyBorder="1" applyAlignment="1">
      <alignment/>
    </xf>
    <xf numFmtId="0" fontId="2" fillId="41" borderId="0" xfId="149" applyFont="1" applyFill="1" applyAlignment="1">
      <alignment vertical="center"/>
      <protection/>
    </xf>
    <xf numFmtId="0" fontId="4" fillId="41" borderId="26" xfId="149" applyFont="1" applyFill="1" applyBorder="1" applyAlignment="1">
      <alignment vertical="center"/>
      <protection/>
    </xf>
    <xf numFmtId="0" fontId="4" fillId="41" borderId="26" xfId="149" applyFont="1" applyFill="1" applyBorder="1" applyAlignment="1">
      <alignment horizontal="center" vertical="center" wrapText="1"/>
      <protection/>
    </xf>
    <xf numFmtId="0" fontId="4" fillId="41" borderId="4" xfId="149" applyFont="1" applyFill="1" applyBorder="1" applyAlignment="1">
      <alignment horizontal="center" vertical="center" wrapText="1"/>
      <protection/>
    </xf>
    <xf numFmtId="0" fontId="4" fillId="41" borderId="26" xfId="149" applyFont="1" applyFill="1" applyBorder="1" applyAlignment="1">
      <alignment horizontal="center" vertical="center"/>
      <protection/>
    </xf>
    <xf numFmtId="0" fontId="4" fillId="41" borderId="26" xfId="149" applyFont="1" applyFill="1" applyBorder="1" applyAlignment="1">
      <alignment vertical="center" wrapText="1"/>
      <protection/>
    </xf>
    <xf numFmtId="199" fontId="2" fillId="41" borderId="26" xfId="77" applyNumberFormat="1" applyFont="1" applyFill="1" applyBorder="1" applyAlignment="1">
      <alignment horizontal="center" vertical="center"/>
    </xf>
    <xf numFmtId="199" fontId="4" fillId="41" borderId="26" xfId="77" applyNumberFormat="1" applyFont="1" applyFill="1" applyBorder="1" applyAlignment="1">
      <alignment horizontal="center" vertical="center"/>
    </xf>
    <xf numFmtId="0" fontId="4" fillId="41" borderId="27" xfId="173" applyFont="1" applyFill="1" applyBorder="1" applyAlignment="1" applyProtection="1">
      <alignment vertical="center"/>
      <protection hidden="1"/>
    </xf>
    <xf numFmtId="0" fontId="4" fillId="41" borderId="28" xfId="173" applyFont="1" applyFill="1" applyBorder="1" applyAlignment="1" applyProtection="1">
      <alignment vertical="center"/>
      <protection hidden="1"/>
    </xf>
    <xf numFmtId="0" fontId="10" fillId="41" borderId="29" xfId="173" applyFont="1" applyFill="1" applyBorder="1" applyAlignment="1" applyProtection="1">
      <alignment horizontal="left" vertical="center"/>
      <protection hidden="1"/>
    </xf>
    <xf numFmtId="3" fontId="2" fillId="41" borderId="0" xfId="149" applyNumberFormat="1" applyFont="1" applyFill="1" applyAlignment="1">
      <alignment vertical="center"/>
      <protection/>
    </xf>
    <xf numFmtId="0" fontId="2" fillId="41" borderId="0" xfId="148" applyFont="1" applyFill="1" applyBorder="1" applyAlignment="1">
      <alignment vertical="center"/>
      <protection/>
    </xf>
    <xf numFmtId="199" fontId="2" fillId="41" borderId="0" xfId="149" applyNumberFormat="1" applyFont="1" applyFill="1" applyAlignment="1">
      <alignment vertical="center"/>
      <protection/>
    </xf>
    <xf numFmtId="0" fontId="4" fillId="40" borderId="26" xfId="149" applyFont="1" applyFill="1" applyBorder="1" applyAlignment="1">
      <alignment vertical="center"/>
      <protection/>
    </xf>
    <xf numFmtId="199" fontId="4" fillId="40" borderId="26" xfId="77" applyNumberFormat="1" applyFont="1" applyFill="1" applyBorder="1" applyAlignment="1">
      <alignment vertical="center"/>
    </xf>
    <xf numFmtId="1" fontId="4" fillId="40" borderId="26" xfId="149" applyNumberFormat="1" applyFont="1" applyFill="1" applyBorder="1" applyAlignment="1">
      <alignment vertical="center"/>
      <protection/>
    </xf>
    <xf numFmtId="199" fontId="4" fillId="40" borderId="30" xfId="77" applyNumberFormat="1" applyFont="1" applyFill="1" applyBorder="1" applyAlignment="1">
      <alignment horizontal="center" vertical="center"/>
    </xf>
    <xf numFmtId="0" fontId="101" fillId="39" borderId="0" xfId="124" applyNumberFormat="1" applyFont="1" applyFill="1" applyAlignment="1">
      <alignment horizontal="centerContinuous"/>
      <protection/>
    </xf>
    <xf numFmtId="0" fontId="102" fillId="39" borderId="0" xfId="124" applyFont="1" applyFill="1" applyAlignment="1">
      <alignment horizontal="centerContinuous"/>
      <protection/>
    </xf>
    <xf numFmtId="0" fontId="103" fillId="41" borderId="0" xfId="124" applyNumberFormat="1" applyFont="1" applyFill="1" applyAlignment="1">
      <alignment horizontal="centerContinuous"/>
      <protection/>
    </xf>
    <xf numFmtId="0" fontId="2" fillId="41" borderId="0" xfId="124" applyFont="1" applyFill="1" applyAlignment="1">
      <alignment horizontal="centerContinuous"/>
      <protection/>
    </xf>
    <xf numFmtId="0" fontId="2" fillId="41" borderId="0" xfId="124" applyNumberFormat="1" applyFont="1" applyFill="1" applyAlignment="1">
      <alignment horizontal="centerContinuous"/>
      <protection/>
    </xf>
    <xf numFmtId="0" fontId="2" fillId="41" borderId="0" xfId="124" applyFont="1" applyFill="1">
      <alignment/>
      <protection/>
    </xf>
    <xf numFmtId="0" fontId="4" fillId="41" borderId="0" xfId="124" applyFont="1" applyFill="1" applyAlignment="1">
      <alignment horizontal="center"/>
      <protection/>
    </xf>
    <xf numFmtId="10" fontId="2" fillId="41" borderId="0" xfId="164" applyNumberFormat="1" applyFont="1" applyFill="1" applyAlignment="1">
      <alignment/>
    </xf>
    <xf numFmtId="3" fontId="2" fillId="41" borderId="0" xfId="124" applyNumberFormat="1" applyFont="1" applyFill="1">
      <alignment/>
      <protection/>
    </xf>
    <xf numFmtId="15" fontId="4" fillId="41" borderId="0" xfId="124" applyNumberFormat="1" applyFont="1" applyFill="1" applyAlignment="1">
      <alignment horizontal="centerContinuous"/>
      <protection/>
    </xf>
    <xf numFmtId="0" fontId="4" fillId="41" borderId="0" xfId="124" applyNumberFormat="1" applyFont="1" applyFill="1" applyAlignment="1">
      <alignment horizontal="centerContinuous"/>
      <protection/>
    </xf>
    <xf numFmtId="0" fontId="4" fillId="41" borderId="0" xfId="124" applyNumberFormat="1" applyFont="1" applyFill="1" applyAlignment="1">
      <alignment horizontal="left"/>
      <protection/>
    </xf>
    <xf numFmtId="3" fontId="4" fillId="41" borderId="0" xfId="124" applyNumberFormat="1" applyFont="1" applyFill="1" applyAlignment="1">
      <alignment horizontal="center"/>
      <protection/>
    </xf>
    <xf numFmtId="3" fontId="2" fillId="41" borderId="30" xfId="124" applyNumberFormat="1" applyFont="1" applyFill="1" applyBorder="1">
      <alignment/>
      <protection/>
    </xf>
    <xf numFmtId="3" fontId="2" fillId="41" borderId="4" xfId="124" applyNumberFormat="1" applyFont="1" applyFill="1" applyBorder="1">
      <alignment/>
      <protection/>
    </xf>
    <xf numFmtId="0" fontId="4" fillId="41" borderId="31" xfId="124" applyFont="1" applyFill="1" applyBorder="1" applyAlignment="1">
      <alignment horizontal="center"/>
      <protection/>
    </xf>
    <xf numFmtId="3" fontId="2" fillId="41" borderId="32" xfId="124" applyNumberFormat="1" applyFont="1" applyFill="1" applyBorder="1">
      <alignment/>
      <protection/>
    </xf>
    <xf numFmtId="0" fontId="4" fillId="41" borderId="0" xfId="124" applyFont="1" applyFill="1" applyAlignment="1">
      <alignment horizontal="centerContinuous"/>
      <protection/>
    </xf>
    <xf numFmtId="0" fontId="2" fillId="41" borderId="0" xfId="124" applyFont="1" applyFill="1" applyAlignment="1">
      <alignment horizontal="center"/>
      <protection/>
    </xf>
    <xf numFmtId="0" fontId="4" fillId="41" borderId="0" xfId="124" applyNumberFormat="1" applyFont="1" applyFill="1" applyBorder="1" applyAlignment="1">
      <alignment horizontal="center"/>
      <protection/>
    </xf>
    <xf numFmtId="15" fontId="4" fillId="41" borderId="0" xfId="124" applyNumberFormat="1" applyFont="1" applyFill="1">
      <alignment/>
      <protection/>
    </xf>
    <xf numFmtId="0" fontId="2" fillId="41" borderId="0" xfId="124" applyNumberFormat="1" applyFont="1" applyFill="1" applyAlignment="1">
      <alignment horizontal="center"/>
      <protection/>
    </xf>
    <xf numFmtId="0" fontId="2" fillId="41" borderId="0" xfId="124" applyFont="1" applyFill="1" applyAlignment="1">
      <alignment horizontal="right"/>
      <protection/>
    </xf>
    <xf numFmtId="14" fontId="2" fillId="41" borderId="0" xfId="124" applyNumberFormat="1" applyFont="1" applyFill="1">
      <alignment/>
      <protection/>
    </xf>
    <xf numFmtId="0" fontId="4" fillId="41" borderId="19" xfId="124" applyNumberFormat="1" applyFont="1" applyFill="1" applyBorder="1" applyAlignment="1">
      <alignment horizontal="center"/>
      <protection/>
    </xf>
    <xf numFmtId="0" fontId="4" fillId="41" borderId="33" xfId="124" applyNumberFormat="1" applyFont="1" applyFill="1" applyBorder="1" applyAlignment="1">
      <alignment horizontal="center"/>
      <protection/>
    </xf>
    <xf numFmtId="0" fontId="4" fillId="41" borderId="16" xfId="124" applyNumberFormat="1" applyFont="1" applyFill="1" applyBorder="1" applyAlignment="1">
      <alignment horizontal="center"/>
      <protection/>
    </xf>
    <xf numFmtId="0" fontId="2" fillId="41" borderId="16" xfId="124" applyNumberFormat="1" applyFont="1" applyFill="1" applyBorder="1">
      <alignment/>
      <protection/>
    </xf>
    <xf numFmtId="3" fontId="4" fillId="41" borderId="19" xfId="124" applyNumberFormat="1" applyFont="1" applyFill="1" applyBorder="1" applyAlignment="1">
      <alignment horizontal="center"/>
      <protection/>
    </xf>
    <xf numFmtId="3" fontId="4" fillId="41" borderId="34" xfId="124" applyNumberFormat="1" applyFont="1" applyFill="1" applyBorder="1" applyAlignment="1">
      <alignment horizontal="center"/>
      <protection/>
    </xf>
    <xf numFmtId="0" fontId="2" fillId="41" borderId="18" xfId="124" applyNumberFormat="1" applyFont="1" applyFill="1" applyBorder="1" applyAlignment="1">
      <alignment horizontal="center"/>
      <protection/>
    </xf>
    <xf numFmtId="0" fontId="2" fillId="41" borderId="35" xfId="124" applyNumberFormat="1" applyFont="1" applyFill="1" applyBorder="1">
      <alignment/>
      <protection/>
    </xf>
    <xf numFmtId="0" fontId="2" fillId="41" borderId="36" xfId="124" applyNumberFormat="1" applyFont="1" applyFill="1" applyBorder="1">
      <alignment/>
      <protection/>
    </xf>
    <xf numFmtId="3" fontId="4" fillId="41" borderId="18" xfId="124" applyNumberFormat="1" applyFont="1" applyFill="1" applyBorder="1" applyAlignment="1">
      <alignment horizontal="center"/>
      <protection/>
    </xf>
    <xf numFmtId="3" fontId="4" fillId="41" borderId="14" xfId="124" applyNumberFormat="1" applyFont="1" applyFill="1" applyBorder="1" applyAlignment="1">
      <alignment horizontal="center"/>
      <protection/>
    </xf>
    <xf numFmtId="3" fontId="4" fillId="41" borderId="37" xfId="124" applyNumberFormat="1" applyFont="1" applyFill="1" applyBorder="1" applyAlignment="1">
      <alignment horizontal="center"/>
      <protection/>
    </xf>
    <xf numFmtId="10" fontId="4" fillId="41" borderId="38" xfId="124" applyNumberFormat="1" applyFont="1" applyFill="1" applyBorder="1" applyAlignment="1">
      <alignment horizontal="center"/>
      <protection/>
    </xf>
    <xf numFmtId="10" fontId="4" fillId="41" borderId="31" xfId="164" applyNumberFormat="1" applyFont="1" applyFill="1" applyBorder="1" applyAlignment="1">
      <alignment horizontal="center"/>
    </xf>
    <xf numFmtId="10" fontId="4" fillId="41" borderId="39" xfId="164" applyNumberFormat="1" applyFont="1" applyFill="1" applyBorder="1" applyAlignment="1">
      <alignment horizontal="center"/>
    </xf>
    <xf numFmtId="0" fontId="4" fillId="41" borderId="0" xfId="124" applyFont="1" applyFill="1">
      <alignment/>
      <protection/>
    </xf>
    <xf numFmtId="0" fontId="2" fillId="41" borderId="36" xfId="124" applyFont="1" applyFill="1" applyBorder="1">
      <alignment/>
      <protection/>
    </xf>
    <xf numFmtId="0" fontId="2" fillId="41" borderId="40" xfId="124" applyFont="1" applyFill="1" applyBorder="1">
      <alignment/>
      <protection/>
    </xf>
    <xf numFmtId="0" fontId="2" fillId="41" borderId="41" xfId="124" applyFont="1" applyFill="1" applyBorder="1">
      <alignment/>
      <protection/>
    </xf>
    <xf numFmtId="0" fontId="2" fillId="41" borderId="41" xfId="124" applyFont="1" applyFill="1" applyBorder="1" applyAlignment="1">
      <alignment horizontal="center"/>
      <protection/>
    </xf>
    <xf numFmtId="0" fontId="2" fillId="41" borderId="14" xfId="124" applyFont="1" applyFill="1" applyBorder="1">
      <alignment/>
      <protection/>
    </xf>
    <xf numFmtId="0" fontId="2" fillId="41" borderId="37" xfId="124" applyFont="1" applyFill="1" applyBorder="1">
      <alignment/>
      <protection/>
    </xf>
    <xf numFmtId="0" fontId="4" fillId="41" borderId="28" xfId="124" applyFont="1" applyFill="1" applyBorder="1" applyAlignment="1">
      <alignment horizontal="center"/>
      <protection/>
    </xf>
    <xf numFmtId="10" fontId="4" fillId="41" borderId="0" xfId="164" applyNumberFormat="1" applyFont="1" applyFill="1" applyBorder="1" applyAlignment="1">
      <alignment horizontal="center"/>
    </xf>
    <xf numFmtId="10" fontId="4" fillId="41" borderId="3" xfId="164" applyNumberFormat="1" applyFont="1" applyFill="1" applyBorder="1" applyAlignment="1">
      <alignment horizontal="center"/>
    </xf>
    <xf numFmtId="3" fontId="4" fillId="41" borderId="42" xfId="124" applyNumberFormat="1" applyFont="1" applyFill="1" applyBorder="1" applyAlignment="1">
      <alignment horizontal="center"/>
      <protection/>
    </xf>
    <xf numFmtId="10" fontId="4" fillId="41" borderId="37" xfId="164" applyNumberFormat="1" applyFont="1" applyFill="1" applyBorder="1" applyAlignment="1">
      <alignment horizontal="center"/>
    </xf>
    <xf numFmtId="10" fontId="4" fillId="41" borderId="14" xfId="164" applyNumberFormat="1" applyFont="1" applyFill="1" applyBorder="1" applyAlignment="1">
      <alignment horizontal="center"/>
    </xf>
    <xf numFmtId="10" fontId="4" fillId="41" borderId="43" xfId="164" applyNumberFormat="1" applyFont="1" applyFill="1" applyBorder="1" applyAlignment="1">
      <alignment horizontal="center"/>
    </xf>
    <xf numFmtId="10" fontId="4" fillId="41" borderId="44" xfId="164" applyNumberFormat="1" applyFont="1" applyFill="1" applyBorder="1" applyAlignment="1">
      <alignment horizontal="center"/>
    </xf>
    <xf numFmtId="10" fontId="4" fillId="41" borderId="18" xfId="164" applyNumberFormat="1" applyFont="1" applyFill="1" applyBorder="1" applyAlignment="1">
      <alignment horizontal="center"/>
    </xf>
    <xf numFmtId="10" fontId="4" fillId="41" borderId="45" xfId="164" applyNumberFormat="1" applyFont="1" applyFill="1" applyBorder="1" applyAlignment="1">
      <alignment horizontal="center"/>
    </xf>
    <xf numFmtId="0" fontId="4" fillId="41" borderId="46" xfId="124" applyFont="1" applyFill="1" applyBorder="1">
      <alignment/>
      <protection/>
    </xf>
    <xf numFmtId="0" fontId="4" fillId="41" borderId="47" xfId="124" applyFont="1" applyFill="1" applyBorder="1">
      <alignment/>
      <protection/>
    </xf>
    <xf numFmtId="0" fontId="4" fillId="41" borderId="48" xfId="124" applyFont="1" applyFill="1" applyBorder="1">
      <alignment/>
      <protection/>
    </xf>
    <xf numFmtId="0" fontId="4" fillId="41" borderId="49" xfId="124" applyFont="1" applyFill="1" applyBorder="1" applyAlignment="1">
      <alignment horizontal="right"/>
      <protection/>
    </xf>
    <xf numFmtId="0" fontId="4" fillId="41" borderId="48" xfId="124" applyFont="1" applyFill="1" applyBorder="1" applyAlignment="1">
      <alignment horizontal="right"/>
      <protection/>
    </xf>
    <xf numFmtId="10" fontId="4" fillId="41" borderId="0" xfId="164" applyNumberFormat="1" applyFont="1" applyFill="1" applyAlignment="1">
      <alignment/>
    </xf>
    <xf numFmtId="0" fontId="4" fillId="41" borderId="40" xfId="124" applyNumberFormat="1" applyFont="1" applyFill="1" applyBorder="1" applyAlignment="1">
      <alignment horizontal="center"/>
      <protection/>
    </xf>
    <xf numFmtId="0" fontId="4" fillId="41" borderId="50" xfId="124" applyNumberFormat="1" applyFont="1" applyFill="1" applyBorder="1">
      <alignment/>
      <protection/>
    </xf>
    <xf numFmtId="0" fontId="4" fillId="41" borderId="50" xfId="124" applyFont="1" applyFill="1" applyBorder="1">
      <alignment/>
      <protection/>
    </xf>
    <xf numFmtId="2" fontId="4" fillId="41" borderId="50" xfId="124" applyNumberFormat="1" applyFont="1" applyFill="1" applyBorder="1" applyAlignment="1">
      <alignment horizontal="center"/>
      <protection/>
    </xf>
    <xf numFmtId="3" fontId="4" fillId="41" borderId="40" xfId="124" applyNumberFormat="1" applyFont="1" applyFill="1" applyBorder="1">
      <alignment/>
      <protection/>
    </xf>
    <xf numFmtId="3" fontId="4" fillId="41" borderId="51" xfId="124" applyNumberFormat="1" applyFont="1" applyFill="1" applyBorder="1">
      <alignment/>
      <protection/>
    </xf>
    <xf numFmtId="0" fontId="2" fillId="41" borderId="28" xfId="124" applyFont="1" applyFill="1" applyBorder="1">
      <alignment/>
      <protection/>
    </xf>
    <xf numFmtId="10" fontId="2" fillId="41" borderId="0" xfId="164" applyNumberFormat="1" applyFont="1" applyFill="1" applyBorder="1" applyAlignment="1">
      <alignment/>
    </xf>
    <xf numFmtId="10" fontId="2" fillId="41" borderId="3" xfId="164" applyNumberFormat="1" applyFont="1" applyFill="1" applyBorder="1" applyAlignment="1">
      <alignment/>
    </xf>
    <xf numFmtId="3" fontId="4" fillId="41" borderId="52" xfId="124" applyNumberFormat="1" applyFont="1" applyFill="1" applyBorder="1">
      <alignment/>
      <protection/>
    </xf>
    <xf numFmtId="10" fontId="2" fillId="41" borderId="38" xfId="164" applyNumberFormat="1" applyFont="1" applyFill="1" applyBorder="1" applyAlignment="1">
      <alignment/>
    </xf>
    <xf numFmtId="10" fontId="2" fillId="41" borderId="31" xfId="164" applyNumberFormat="1" applyFont="1" applyFill="1" applyBorder="1" applyAlignment="1">
      <alignment/>
    </xf>
    <xf numFmtId="10" fontId="2" fillId="41" borderId="39" xfId="164" applyNumberFormat="1" applyFont="1" applyFill="1" applyBorder="1" applyAlignment="1">
      <alignment/>
    </xf>
    <xf numFmtId="10" fontId="4" fillId="41" borderId="0" xfId="164" applyNumberFormat="1" applyFont="1" applyFill="1" applyAlignment="1">
      <alignment horizontal="left"/>
    </xf>
    <xf numFmtId="3" fontId="4" fillId="41" borderId="0" xfId="124" applyNumberFormat="1" applyFont="1" applyFill="1" applyBorder="1" applyAlignment="1">
      <alignment horizontal="right"/>
      <protection/>
    </xf>
    <xf numFmtId="0" fontId="4" fillId="41" borderId="53" xfId="124" applyFont="1" applyFill="1" applyBorder="1">
      <alignment/>
      <protection/>
    </xf>
    <xf numFmtId="0" fontId="4" fillId="41" borderId="41" xfId="124" applyFont="1" applyFill="1" applyBorder="1">
      <alignment/>
      <protection/>
    </xf>
    <xf numFmtId="0" fontId="4" fillId="41" borderId="51" xfId="124" applyFont="1" applyFill="1" applyBorder="1">
      <alignment/>
      <protection/>
    </xf>
    <xf numFmtId="0" fontId="4" fillId="41" borderId="40" xfId="124" applyFont="1" applyFill="1" applyBorder="1" applyAlignment="1">
      <alignment horizontal="right"/>
      <protection/>
    </xf>
    <xf numFmtId="0" fontId="4" fillId="41" borderId="51" xfId="124" applyFont="1" applyFill="1" applyBorder="1" applyAlignment="1">
      <alignment horizontal="right"/>
      <protection/>
    </xf>
    <xf numFmtId="0" fontId="4" fillId="41" borderId="40" xfId="124" applyFont="1" applyFill="1" applyBorder="1" applyAlignment="1">
      <alignment horizontal="center"/>
      <protection/>
    </xf>
    <xf numFmtId="3" fontId="2" fillId="41" borderId="40" xfId="124" applyNumberFormat="1" applyFont="1" applyFill="1" applyBorder="1">
      <alignment/>
      <protection/>
    </xf>
    <xf numFmtId="4" fontId="2" fillId="41" borderId="14" xfId="124" applyNumberFormat="1" applyFont="1" applyFill="1" applyBorder="1">
      <alignment/>
      <protection/>
    </xf>
    <xf numFmtId="3" fontId="2" fillId="41" borderId="37" xfId="124" applyNumberFormat="1" applyFont="1" applyFill="1" applyBorder="1">
      <alignment/>
      <protection/>
    </xf>
    <xf numFmtId="3" fontId="2" fillId="41" borderId="54" xfId="124" applyNumberFormat="1" applyFont="1" applyFill="1" applyBorder="1">
      <alignment/>
      <protection/>
    </xf>
    <xf numFmtId="10" fontId="2" fillId="41" borderId="44" xfId="164" applyNumberFormat="1" applyFont="1" applyFill="1" applyBorder="1" applyAlignment="1">
      <alignment/>
    </xf>
    <xf numFmtId="10" fontId="2" fillId="41" borderId="18" xfId="164" applyNumberFormat="1" applyFont="1" applyFill="1" applyBorder="1" applyAlignment="1">
      <alignment/>
    </xf>
    <xf numFmtId="10" fontId="2" fillId="41" borderId="45" xfId="164" applyNumberFormat="1" applyFont="1" applyFill="1" applyBorder="1" applyAlignment="1">
      <alignment/>
    </xf>
    <xf numFmtId="10" fontId="2" fillId="41" borderId="55" xfId="164" applyNumberFormat="1" applyFont="1" applyFill="1" applyBorder="1" applyAlignment="1">
      <alignment/>
    </xf>
    <xf numFmtId="10" fontId="2" fillId="41" borderId="9" xfId="164" applyNumberFormat="1" applyFont="1" applyFill="1" applyBorder="1" applyAlignment="1">
      <alignment/>
    </xf>
    <xf numFmtId="10" fontId="2" fillId="41" borderId="56" xfId="164" applyNumberFormat="1" applyFont="1" applyFill="1" applyBorder="1" applyAlignment="1">
      <alignment/>
    </xf>
    <xf numFmtId="10" fontId="2" fillId="41" borderId="0" xfId="164" applyNumberFormat="1" applyFont="1" applyFill="1" applyAlignment="1">
      <alignment horizontal="left"/>
    </xf>
    <xf numFmtId="3" fontId="4" fillId="41" borderId="40" xfId="124" applyNumberFormat="1" applyFont="1" applyFill="1" applyBorder="1" applyAlignment="1">
      <alignment horizontal="right"/>
      <protection/>
    </xf>
    <xf numFmtId="164" fontId="4" fillId="41" borderId="40" xfId="124" applyNumberFormat="1" applyFont="1" applyFill="1" applyBorder="1" applyAlignment="1">
      <alignment horizontal="right"/>
      <protection/>
    </xf>
    <xf numFmtId="0" fontId="2" fillId="41" borderId="40" xfId="124" applyFont="1" applyFill="1" applyBorder="1" applyAlignment="1">
      <alignment horizontal="center"/>
      <protection/>
    </xf>
    <xf numFmtId="38" fontId="4" fillId="41" borderId="40" xfId="76" applyNumberFormat="1" applyFont="1" applyFill="1" applyBorder="1" applyAlignment="1">
      <alignment horizontal="right"/>
    </xf>
    <xf numFmtId="0" fontId="2" fillId="41" borderId="50" xfId="124" applyFont="1" applyFill="1" applyBorder="1">
      <alignment/>
      <protection/>
    </xf>
    <xf numFmtId="0" fontId="4" fillId="41" borderId="40" xfId="124" applyNumberFormat="1" applyFont="1" applyFill="1" applyBorder="1">
      <alignment/>
      <protection/>
    </xf>
    <xf numFmtId="0" fontId="4" fillId="41" borderId="41" xfId="124" applyNumberFormat="1" applyFont="1" applyFill="1" applyBorder="1">
      <alignment/>
      <protection/>
    </xf>
    <xf numFmtId="190" fontId="4" fillId="41" borderId="40" xfId="124" applyNumberFormat="1" applyFont="1" applyFill="1" applyBorder="1" applyAlignment="1">
      <alignment horizontal="right"/>
      <protection/>
    </xf>
    <xf numFmtId="0" fontId="4" fillId="41" borderId="35" xfId="124" applyFont="1" applyFill="1" applyBorder="1">
      <alignment/>
      <protection/>
    </xf>
    <xf numFmtId="0" fontId="4" fillId="41" borderId="36" xfId="124" applyFont="1" applyFill="1" applyBorder="1">
      <alignment/>
      <protection/>
    </xf>
    <xf numFmtId="0" fontId="4" fillId="41" borderId="44" xfId="124" applyFont="1" applyFill="1" applyBorder="1">
      <alignment/>
      <protection/>
    </xf>
    <xf numFmtId="1" fontId="4" fillId="41" borderId="18" xfId="124" applyNumberFormat="1" applyFont="1" applyFill="1" applyBorder="1" applyAlignment="1">
      <alignment horizontal="right"/>
      <protection/>
    </xf>
    <xf numFmtId="0" fontId="4" fillId="41" borderId="44" xfId="124" applyFont="1" applyFill="1" applyBorder="1" applyAlignment="1">
      <alignment horizontal="right"/>
      <protection/>
    </xf>
    <xf numFmtId="3" fontId="21" fillId="41" borderId="0" xfId="124" applyNumberFormat="1" applyFont="1" applyFill="1">
      <alignment/>
      <protection/>
    </xf>
    <xf numFmtId="0" fontId="4" fillId="41" borderId="40" xfId="124" applyNumberFormat="1" applyFont="1" applyFill="1" applyBorder="1" applyAlignment="1">
      <alignment horizontal="center" vertical="top" wrapText="1"/>
      <protection/>
    </xf>
    <xf numFmtId="0" fontId="4" fillId="41" borderId="41" xfId="124" applyNumberFormat="1" applyFont="1" applyFill="1" applyBorder="1" applyAlignment="1">
      <alignment horizontal="left" vertical="top" wrapText="1"/>
      <protection/>
    </xf>
    <xf numFmtId="15" fontId="4" fillId="41" borderId="0" xfId="124" applyNumberFormat="1" applyFont="1" applyFill="1" quotePrefix="1">
      <alignment/>
      <protection/>
    </xf>
    <xf numFmtId="0" fontId="4" fillId="41" borderId="19" xfId="124" applyNumberFormat="1" applyFont="1" applyFill="1" applyBorder="1" applyAlignment="1">
      <alignment horizontal="centerContinuous"/>
      <protection/>
    </xf>
    <xf numFmtId="0" fontId="23" fillId="41" borderId="0" xfId="124" applyNumberFormat="1" applyFont="1" applyFill="1" applyAlignment="1">
      <alignment horizontal="center"/>
      <protection/>
    </xf>
    <xf numFmtId="0" fontId="4" fillId="41" borderId="0" xfId="124" applyNumberFormat="1" applyFont="1" applyFill="1">
      <alignment/>
      <protection/>
    </xf>
    <xf numFmtId="0" fontId="4" fillId="41" borderId="0" xfId="124" applyNumberFormat="1" applyFont="1" applyFill="1" applyAlignment="1">
      <alignment horizontal="center"/>
      <protection/>
    </xf>
    <xf numFmtId="0" fontId="4" fillId="41" borderId="28" xfId="124" applyNumberFormat="1" applyFont="1" applyFill="1" applyBorder="1" applyAlignment="1">
      <alignment horizontal="center"/>
      <protection/>
    </xf>
    <xf numFmtId="3" fontId="4" fillId="41" borderId="44" xfId="124" applyNumberFormat="1" applyFont="1" applyFill="1" applyBorder="1" applyAlignment="1">
      <alignment horizontal="center"/>
      <protection/>
    </xf>
    <xf numFmtId="0" fontId="4" fillId="41" borderId="40" xfId="124" applyFont="1" applyFill="1" applyBorder="1">
      <alignment/>
      <protection/>
    </xf>
    <xf numFmtId="3" fontId="2" fillId="41" borderId="40" xfId="124" applyNumberFormat="1" applyFont="1" applyFill="1" applyBorder="1" applyAlignment="1">
      <alignment horizontal="right"/>
      <protection/>
    </xf>
    <xf numFmtId="0" fontId="23" fillId="41" borderId="0" xfId="124" applyNumberFormat="1" applyFont="1" applyFill="1">
      <alignment/>
      <protection/>
    </xf>
    <xf numFmtId="3" fontId="4" fillId="41" borderId="51" xfId="124" applyNumberFormat="1" applyFont="1" applyFill="1" applyBorder="1" applyAlignment="1">
      <alignment horizontal="right"/>
      <protection/>
    </xf>
    <xf numFmtId="192" fontId="21" fillId="41" borderId="0" xfId="82" applyNumberFormat="1" applyFont="1" applyFill="1" applyAlignment="1">
      <alignment/>
    </xf>
    <xf numFmtId="3" fontId="23" fillId="41" borderId="51" xfId="124" applyNumberFormat="1" applyFont="1" applyFill="1" applyBorder="1" applyAlignment="1">
      <alignment horizontal="right"/>
      <protection/>
    </xf>
    <xf numFmtId="0" fontId="21" fillId="41" borderId="0" xfId="124" applyFont="1" applyFill="1">
      <alignment/>
      <protection/>
    </xf>
    <xf numFmtId="193" fontId="21" fillId="41" borderId="0" xfId="82" applyNumberFormat="1" applyFont="1" applyFill="1" applyAlignment="1">
      <alignment/>
    </xf>
    <xf numFmtId="3" fontId="2" fillId="41" borderId="14" xfId="124" applyNumberFormat="1" applyFont="1" applyFill="1" applyBorder="1" applyAlignment="1">
      <alignment horizontal="right"/>
      <protection/>
    </xf>
    <xf numFmtId="3" fontId="2" fillId="41" borderId="37" xfId="124" applyNumberFormat="1" applyFont="1" applyFill="1" applyBorder="1" applyAlignment="1">
      <alignment horizontal="right"/>
      <protection/>
    </xf>
    <xf numFmtId="3" fontId="2" fillId="41" borderId="0" xfId="124" applyNumberFormat="1" applyFont="1" applyFill="1" applyAlignment="1">
      <alignment horizontal="left"/>
      <protection/>
    </xf>
    <xf numFmtId="0" fontId="4" fillId="41" borderId="40" xfId="124" applyNumberFormat="1" applyFont="1" applyFill="1" applyBorder="1" applyAlignment="1">
      <alignment horizontal="center" vertical="center"/>
      <protection/>
    </xf>
    <xf numFmtId="0" fontId="4" fillId="41" borderId="41" xfId="124" applyNumberFormat="1" applyFont="1" applyFill="1" applyBorder="1" applyAlignment="1">
      <alignment vertical="center"/>
      <protection/>
    </xf>
    <xf numFmtId="0" fontId="2" fillId="41" borderId="41" xfId="124" applyFont="1" applyFill="1" applyBorder="1" applyAlignment="1">
      <alignment vertical="center"/>
      <protection/>
    </xf>
    <xf numFmtId="0" fontId="2" fillId="41" borderId="41" xfId="124" applyFont="1" applyFill="1" applyBorder="1" applyAlignment="1">
      <alignment horizontal="center" vertical="center"/>
      <protection/>
    </xf>
    <xf numFmtId="3" fontId="2" fillId="41" borderId="40" xfId="124" applyNumberFormat="1" applyFont="1" applyFill="1" applyBorder="1" applyAlignment="1">
      <alignment vertical="center"/>
      <protection/>
    </xf>
    <xf numFmtId="0" fontId="4" fillId="41" borderId="41" xfId="124" applyNumberFormat="1" applyFont="1" applyFill="1" applyBorder="1" applyAlignment="1">
      <alignment vertical="top" wrapText="1"/>
      <protection/>
    </xf>
    <xf numFmtId="0" fontId="2" fillId="41" borderId="41" xfId="124" applyFont="1" applyFill="1" applyBorder="1" applyAlignment="1">
      <alignment vertical="top" wrapText="1"/>
      <protection/>
    </xf>
    <xf numFmtId="0" fontId="2" fillId="41" borderId="41" xfId="124" applyFont="1" applyFill="1" applyBorder="1" applyAlignment="1">
      <alignment horizontal="center" vertical="top" wrapText="1"/>
      <protection/>
    </xf>
    <xf numFmtId="3" fontId="2" fillId="41" borderId="40" xfId="124" applyNumberFormat="1" applyFont="1" applyFill="1" applyBorder="1" applyAlignment="1">
      <alignment vertical="top" wrapText="1"/>
      <protection/>
    </xf>
    <xf numFmtId="0" fontId="23" fillId="41" borderId="40" xfId="124" applyFont="1" applyFill="1" applyBorder="1">
      <alignment/>
      <protection/>
    </xf>
    <xf numFmtId="0" fontId="2" fillId="41" borderId="0" xfId="124" applyFont="1" applyFill="1" applyAlignment="1">
      <alignment vertical="center"/>
      <protection/>
    </xf>
    <xf numFmtId="194" fontId="53" fillId="41" borderId="51" xfId="124" applyNumberFormat="1" applyFont="1" applyFill="1" applyBorder="1" applyAlignment="1">
      <alignment horizontal="right"/>
      <protection/>
    </xf>
    <xf numFmtId="0" fontId="4" fillId="41" borderId="41" xfId="124" applyNumberFormat="1" applyFont="1" applyFill="1" applyBorder="1" applyAlignment="1">
      <alignment horizontal="left"/>
      <protection/>
    </xf>
    <xf numFmtId="0" fontId="2" fillId="41" borderId="0" xfId="124" applyFont="1" applyFill="1" applyAlignment="1">
      <alignment vertical="top" wrapText="1"/>
      <protection/>
    </xf>
    <xf numFmtId="0" fontId="4" fillId="41" borderId="40" xfId="124" applyNumberFormat="1" applyFont="1" applyFill="1" applyBorder="1" applyAlignment="1">
      <alignment horizontal="center" vertical="top"/>
      <protection/>
    </xf>
    <xf numFmtId="0" fontId="4" fillId="41" borderId="41" xfId="124" applyNumberFormat="1" applyFont="1" applyFill="1" applyBorder="1" applyAlignment="1">
      <alignment vertical="top"/>
      <protection/>
    </xf>
    <xf numFmtId="3" fontId="4" fillId="41" borderId="44" xfId="124" applyNumberFormat="1" applyFont="1" applyFill="1" applyBorder="1" applyAlignment="1">
      <alignment horizontal="right"/>
      <protection/>
    </xf>
    <xf numFmtId="3" fontId="4" fillId="41" borderId="37" xfId="124" applyNumberFormat="1" applyFont="1" applyFill="1" applyBorder="1" applyAlignment="1">
      <alignment horizontal="right"/>
      <protection/>
    </xf>
    <xf numFmtId="3" fontId="4" fillId="41" borderId="9" xfId="124" applyNumberFormat="1" applyFont="1" applyFill="1" applyBorder="1" applyAlignment="1">
      <alignment horizontal="right"/>
      <protection/>
    </xf>
    <xf numFmtId="0" fontId="2" fillId="41" borderId="41" xfId="124" applyFont="1" applyFill="1" applyBorder="1" applyAlignment="1">
      <alignment vertical="top"/>
      <protection/>
    </xf>
    <xf numFmtId="0" fontId="2" fillId="41" borderId="41" xfId="124" applyFont="1" applyFill="1" applyBorder="1" applyAlignment="1">
      <alignment horizontal="center" vertical="top"/>
      <protection/>
    </xf>
    <xf numFmtId="3" fontId="2" fillId="41" borderId="40" xfId="124" applyNumberFormat="1" applyFont="1" applyFill="1" applyBorder="1" applyAlignment="1">
      <alignment vertical="top"/>
      <protection/>
    </xf>
    <xf numFmtId="166" fontId="4" fillId="41" borderId="9" xfId="164" applyNumberFormat="1" applyFont="1" applyFill="1" applyBorder="1" applyAlignment="1">
      <alignment/>
    </xf>
    <xf numFmtId="9" fontId="21" fillId="41" borderId="0" xfId="164" applyFont="1" applyFill="1" applyAlignment="1">
      <alignment/>
    </xf>
    <xf numFmtId="0" fontId="2" fillId="41" borderId="0" xfId="124" applyFont="1" applyFill="1" applyAlignment="1">
      <alignment vertical="top"/>
      <protection/>
    </xf>
    <xf numFmtId="166" fontId="4" fillId="41" borderId="9" xfId="124" applyNumberFormat="1" applyFont="1" applyFill="1" applyBorder="1" applyAlignment="1">
      <alignment horizontal="right"/>
      <protection/>
    </xf>
    <xf numFmtId="0" fontId="23" fillId="41" borderId="0" xfId="124" applyFont="1" applyFill="1" applyAlignment="1">
      <alignment horizontal="center"/>
      <protection/>
    </xf>
    <xf numFmtId="166" fontId="23" fillId="41" borderId="51" xfId="164" applyNumberFormat="1" applyFont="1" applyFill="1" applyBorder="1" applyAlignment="1">
      <alignment horizontal="center"/>
    </xf>
    <xf numFmtId="3" fontId="4" fillId="41" borderId="9" xfId="124" applyNumberFormat="1" applyFont="1" applyFill="1" applyBorder="1" applyAlignment="1">
      <alignment horizontal="centerContinuous"/>
      <protection/>
    </xf>
    <xf numFmtId="3" fontId="4" fillId="41" borderId="55" xfId="124" applyNumberFormat="1" applyFont="1" applyFill="1" applyBorder="1" applyAlignment="1">
      <alignment horizontal="centerContinuous"/>
      <protection/>
    </xf>
    <xf numFmtId="189" fontId="4" fillId="41" borderId="55" xfId="124" applyNumberFormat="1" applyFont="1" applyFill="1" applyBorder="1" applyAlignment="1">
      <alignment horizontal="centerContinuous"/>
      <protection/>
    </xf>
    <xf numFmtId="3" fontId="4" fillId="41" borderId="51" xfId="124" applyNumberFormat="1" applyFont="1" applyFill="1" applyBorder="1" applyAlignment="1">
      <alignment horizontal="centerContinuous"/>
      <protection/>
    </xf>
    <xf numFmtId="3" fontId="2" fillId="41" borderId="14" xfId="124" applyNumberFormat="1" applyFont="1" applyFill="1" applyBorder="1">
      <alignment/>
      <protection/>
    </xf>
    <xf numFmtId="193" fontId="4" fillId="41" borderId="9" xfId="82" applyNumberFormat="1" applyFont="1" applyFill="1" applyBorder="1" applyAlignment="1">
      <alignment horizontal="centerContinuous"/>
    </xf>
    <xf numFmtId="189" fontId="2" fillId="41" borderId="44" xfId="124" applyNumberFormat="1" applyFont="1" applyFill="1" applyBorder="1" applyAlignment="1">
      <alignment horizontal="centerContinuous"/>
      <protection/>
    </xf>
    <xf numFmtId="0" fontId="2" fillId="41" borderId="0" xfId="124" applyFont="1" applyFill="1" applyBorder="1" applyAlignment="1">
      <alignment horizontal="center"/>
      <protection/>
    </xf>
    <xf numFmtId="0" fontId="4" fillId="41" borderId="0" xfId="124" applyNumberFormat="1" applyFont="1" applyFill="1" applyBorder="1">
      <alignment/>
      <protection/>
    </xf>
    <xf numFmtId="0" fontId="2" fillId="41" borderId="0" xfId="124" applyFont="1" applyFill="1" applyBorder="1">
      <alignment/>
      <protection/>
    </xf>
    <xf numFmtId="3" fontId="4" fillId="41" borderId="0" xfId="124" applyNumberFormat="1" applyFont="1" applyFill="1" applyBorder="1">
      <alignment/>
      <protection/>
    </xf>
    <xf numFmtId="195" fontId="4" fillId="41" borderId="0" xfId="82" applyNumberFormat="1" applyFont="1" applyFill="1" applyBorder="1" applyAlignment="1">
      <alignment horizontal="centerContinuous"/>
    </xf>
    <xf numFmtId="189" fontId="2" fillId="41" borderId="0" xfId="124" applyNumberFormat="1" applyFont="1" applyFill="1" applyBorder="1" applyAlignment="1">
      <alignment horizontal="centerContinuous"/>
      <protection/>
    </xf>
    <xf numFmtId="0" fontId="2" fillId="41" borderId="18" xfId="124" applyFont="1" applyFill="1" applyBorder="1" applyAlignment="1">
      <alignment horizontal="center"/>
      <protection/>
    </xf>
    <xf numFmtId="0" fontId="2" fillId="41" borderId="36" xfId="124" applyFont="1" applyFill="1" applyBorder="1" applyAlignment="1">
      <alignment horizontal="center"/>
      <protection/>
    </xf>
    <xf numFmtId="0" fontId="2" fillId="41" borderId="18" xfId="124" applyFont="1" applyFill="1" applyBorder="1">
      <alignment/>
      <protection/>
    </xf>
    <xf numFmtId="193" fontId="2" fillId="41" borderId="0" xfId="124" applyNumberFormat="1" applyFont="1" applyFill="1" applyBorder="1">
      <alignment/>
      <protection/>
    </xf>
    <xf numFmtId="0" fontId="4" fillId="41" borderId="18" xfId="124" applyNumberFormat="1" applyFont="1" applyFill="1" applyBorder="1" applyAlignment="1">
      <alignment horizontal="center"/>
      <protection/>
    </xf>
    <xf numFmtId="0" fontId="4" fillId="41" borderId="57" xfId="124" applyNumberFormat="1" applyFont="1" applyFill="1" applyBorder="1">
      <alignment/>
      <protection/>
    </xf>
    <xf numFmtId="0" fontId="2" fillId="41" borderId="57" xfId="124" applyFont="1" applyFill="1" applyBorder="1">
      <alignment/>
      <protection/>
    </xf>
    <xf numFmtId="2" fontId="4" fillId="41" borderId="57" xfId="124" applyNumberFormat="1" applyFont="1" applyFill="1" applyBorder="1" applyAlignment="1">
      <alignment horizontal="center"/>
      <protection/>
    </xf>
    <xf numFmtId="3" fontId="4" fillId="41" borderId="18" xfId="124" applyNumberFormat="1" applyFont="1" applyFill="1" applyBorder="1">
      <alignment/>
      <protection/>
    </xf>
    <xf numFmtId="3" fontId="4" fillId="41" borderId="44" xfId="124" applyNumberFormat="1" applyFont="1" applyFill="1" applyBorder="1">
      <alignment/>
      <protection/>
    </xf>
    <xf numFmtId="0" fontId="2" fillId="41" borderId="30" xfId="124" applyFont="1" applyFill="1" applyBorder="1">
      <alignment/>
      <protection/>
    </xf>
    <xf numFmtId="0" fontId="4" fillId="41" borderId="4" xfId="124" applyFont="1" applyFill="1" applyBorder="1">
      <alignment/>
      <protection/>
    </xf>
    <xf numFmtId="0" fontId="2" fillId="41" borderId="4" xfId="124" applyFont="1" applyFill="1" applyBorder="1">
      <alignment/>
      <protection/>
    </xf>
    <xf numFmtId="3" fontId="4" fillId="41" borderId="26" xfId="124" applyNumberFormat="1" applyFont="1" applyFill="1" applyBorder="1">
      <alignment/>
      <protection/>
    </xf>
    <xf numFmtId="4" fontId="2" fillId="41" borderId="58" xfId="124" applyNumberFormat="1" applyFont="1" applyFill="1" applyBorder="1">
      <alignment/>
      <protection/>
    </xf>
    <xf numFmtId="3" fontId="2" fillId="41" borderId="26" xfId="124" applyNumberFormat="1" applyFont="1" applyFill="1" applyBorder="1">
      <alignment/>
      <protection/>
    </xf>
    <xf numFmtId="10" fontId="4" fillId="41" borderId="0" xfId="124" applyNumberFormat="1" applyFont="1" applyFill="1">
      <alignment/>
      <protection/>
    </xf>
    <xf numFmtId="10" fontId="4" fillId="41" borderId="29" xfId="124" applyNumberFormat="1" applyFont="1" applyFill="1" applyBorder="1" applyAlignment="1">
      <alignment horizontal="center"/>
      <protection/>
    </xf>
    <xf numFmtId="10" fontId="2" fillId="41" borderId="59" xfId="164" applyNumberFormat="1" applyFont="1" applyFill="1" applyBorder="1" applyAlignment="1">
      <alignment/>
    </xf>
    <xf numFmtId="10" fontId="2" fillId="41" borderId="60" xfId="164" applyNumberFormat="1" applyFont="1" applyFill="1" applyBorder="1" applyAlignment="1">
      <alignment/>
    </xf>
    <xf numFmtId="10" fontId="2" fillId="41" borderId="61" xfId="164" applyNumberFormat="1" applyFont="1" applyFill="1" applyBorder="1" applyAlignment="1">
      <alignment/>
    </xf>
    <xf numFmtId="10" fontId="2" fillId="41" borderId="62" xfId="164" applyNumberFormat="1" applyFont="1" applyFill="1" applyBorder="1" applyAlignment="1">
      <alignment/>
    </xf>
    <xf numFmtId="10" fontId="2" fillId="41" borderId="63" xfId="164" applyNumberFormat="1" applyFont="1" applyFill="1" applyBorder="1" applyAlignment="1">
      <alignment/>
    </xf>
    <xf numFmtId="10" fontId="2" fillId="41" borderId="64" xfId="164" applyNumberFormat="1" applyFont="1" applyFill="1" applyBorder="1" applyAlignment="1">
      <alignment/>
    </xf>
    <xf numFmtId="3" fontId="2" fillId="41" borderId="0" xfId="124" applyNumberFormat="1" applyFont="1" applyFill="1" applyBorder="1">
      <alignment/>
      <protection/>
    </xf>
    <xf numFmtId="0" fontId="4" fillId="41" borderId="55" xfId="124" applyFont="1" applyFill="1" applyBorder="1" applyAlignment="1">
      <alignment horizontal="center"/>
      <protection/>
    </xf>
    <xf numFmtId="0" fontId="2" fillId="41" borderId="9" xfId="124" applyFont="1" applyFill="1" applyBorder="1">
      <alignment/>
      <protection/>
    </xf>
    <xf numFmtId="10" fontId="4" fillId="41" borderId="9" xfId="164" applyNumberFormat="1" applyFont="1" applyFill="1" applyBorder="1" applyAlignment="1">
      <alignment horizontal="center"/>
    </xf>
    <xf numFmtId="3" fontId="4" fillId="41" borderId="0" xfId="124" applyNumberFormat="1" applyFont="1" applyFill="1">
      <alignment/>
      <protection/>
    </xf>
    <xf numFmtId="3" fontId="4" fillId="41" borderId="9" xfId="124" applyNumberFormat="1" applyFont="1" applyFill="1" applyBorder="1" applyAlignment="1">
      <alignment horizontal="center"/>
      <protection/>
    </xf>
    <xf numFmtId="3" fontId="4" fillId="41" borderId="9" xfId="124" applyNumberFormat="1" applyFont="1" applyFill="1" applyBorder="1">
      <alignment/>
      <protection/>
    </xf>
    <xf numFmtId="0" fontId="4" fillId="41" borderId="9" xfId="124" applyFont="1" applyFill="1" applyBorder="1" applyAlignment="1">
      <alignment horizontal="center"/>
      <protection/>
    </xf>
    <xf numFmtId="0" fontId="4" fillId="41" borderId="9" xfId="124" applyNumberFormat="1" applyFont="1" applyFill="1" applyBorder="1" applyAlignment="1">
      <alignment horizontal="center"/>
      <protection/>
    </xf>
    <xf numFmtId="10" fontId="4" fillId="41" borderId="9" xfId="164" applyNumberFormat="1" applyFont="1" applyFill="1" applyBorder="1" applyAlignment="1">
      <alignment/>
    </xf>
    <xf numFmtId="10" fontId="2" fillId="41" borderId="0" xfId="124" applyNumberFormat="1" applyFont="1" applyFill="1">
      <alignment/>
      <protection/>
    </xf>
    <xf numFmtId="0" fontId="4" fillId="41" borderId="0" xfId="124" applyFont="1" applyFill="1" applyAlignment="1">
      <alignment horizontal="center" vertical="center"/>
      <protection/>
    </xf>
    <xf numFmtId="10" fontId="2" fillId="41" borderId="0" xfId="164" applyNumberFormat="1" applyFont="1" applyFill="1" applyAlignment="1">
      <alignment vertical="center"/>
    </xf>
    <xf numFmtId="3" fontId="2" fillId="41" borderId="0" xfId="124" applyNumberFormat="1" applyFont="1" applyFill="1" applyAlignment="1">
      <alignment vertical="center"/>
      <protection/>
    </xf>
    <xf numFmtId="0" fontId="4" fillId="41" borderId="0" xfId="124" applyFont="1" applyFill="1" applyAlignment="1">
      <alignment horizontal="center" vertical="top" wrapText="1"/>
      <protection/>
    </xf>
    <xf numFmtId="10" fontId="2" fillId="41" borderId="0" xfId="164" applyNumberFormat="1" applyFont="1" applyFill="1" applyAlignment="1">
      <alignment vertical="top" wrapText="1"/>
    </xf>
    <xf numFmtId="3" fontId="2" fillId="41" borderId="0" xfId="124" applyNumberFormat="1" applyFont="1" applyFill="1" applyAlignment="1">
      <alignment vertical="top" wrapText="1"/>
      <protection/>
    </xf>
    <xf numFmtId="0" fontId="4" fillId="41" borderId="0" xfId="124" applyFont="1" applyFill="1" applyAlignment="1">
      <alignment horizontal="center" vertical="top"/>
      <protection/>
    </xf>
    <xf numFmtId="10" fontId="2" fillId="41" borderId="0" xfId="164" applyNumberFormat="1" applyFont="1" applyFill="1" applyAlignment="1">
      <alignment vertical="top"/>
    </xf>
    <xf numFmtId="3" fontId="2" fillId="41" borderId="0" xfId="124" applyNumberFormat="1" applyFont="1" applyFill="1" applyAlignment="1">
      <alignment vertical="top"/>
      <protection/>
    </xf>
    <xf numFmtId="0" fontId="4" fillId="41" borderId="9" xfId="124" applyNumberFormat="1" applyFont="1" applyFill="1" applyBorder="1">
      <alignment/>
      <protection/>
    </xf>
    <xf numFmtId="0" fontId="4" fillId="41" borderId="9" xfId="124" applyNumberFormat="1" applyFont="1" applyFill="1" applyBorder="1" applyAlignment="1">
      <alignment horizontal="right"/>
      <protection/>
    </xf>
    <xf numFmtId="2" fontId="4" fillId="41" borderId="9" xfId="124" applyNumberFormat="1" applyFont="1" applyFill="1" applyBorder="1">
      <alignment/>
      <protection/>
    </xf>
    <xf numFmtId="3" fontId="2" fillId="41" borderId="9" xfId="124" applyNumberFormat="1" applyFont="1" applyFill="1" applyBorder="1">
      <alignment/>
      <protection/>
    </xf>
    <xf numFmtId="0" fontId="2" fillId="41" borderId="9" xfId="124" applyNumberFormat="1" applyFont="1" applyFill="1" applyBorder="1" applyAlignment="1">
      <alignment horizontal="center"/>
      <protection/>
    </xf>
    <xf numFmtId="0" fontId="2" fillId="41" borderId="9" xfId="124" applyNumberFormat="1" applyFont="1" applyFill="1" applyBorder="1">
      <alignment/>
      <protection/>
    </xf>
    <xf numFmtId="14" fontId="4" fillId="41" borderId="9" xfId="124" applyNumberFormat="1" applyFont="1" applyFill="1" applyBorder="1" applyAlignment="1">
      <alignment horizontal="center"/>
      <protection/>
    </xf>
    <xf numFmtId="0" fontId="4" fillId="41" borderId="9" xfId="124" applyNumberFormat="1" applyFont="1" applyFill="1" applyBorder="1" applyAlignment="1">
      <alignment horizontal="centerContinuous"/>
      <protection/>
    </xf>
    <xf numFmtId="0" fontId="4" fillId="41" borderId="9" xfId="124" applyFont="1" applyFill="1" applyBorder="1" applyAlignment="1">
      <alignment horizontal="centerContinuous"/>
      <protection/>
    </xf>
    <xf numFmtId="9" fontId="4" fillId="41" borderId="9" xfId="124" applyNumberFormat="1" applyFont="1" applyFill="1" applyBorder="1" applyAlignment="1">
      <alignment horizontal="center"/>
      <protection/>
    </xf>
    <xf numFmtId="166" fontId="4" fillId="41" borderId="9" xfId="124" applyNumberFormat="1" applyFont="1" applyFill="1" applyBorder="1" applyAlignment="1">
      <alignment horizontal="center"/>
      <protection/>
    </xf>
    <xf numFmtId="3" fontId="23" fillId="41" borderId="9" xfId="124" applyNumberFormat="1" applyFont="1" applyFill="1" applyBorder="1" applyAlignment="1">
      <alignment horizontal="right"/>
      <protection/>
    </xf>
    <xf numFmtId="9" fontId="4" fillId="41" borderId="9" xfId="164" applyNumberFormat="1" applyFont="1" applyFill="1" applyBorder="1" applyAlignment="1">
      <alignment horizontal="center"/>
    </xf>
    <xf numFmtId="9" fontId="4" fillId="41" borderId="9" xfId="164" applyFont="1" applyFill="1" applyBorder="1" applyAlignment="1">
      <alignment horizontal="center"/>
    </xf>
    <xf numFmtId="166" fontId="25" fillId="41" borderId="9" xfId="164" applyNumberFormat="1" applyFont="1" applyFill="1" applyBorder="1" applyAlignment="1">
      <alignment/>
    </xf>
    <xf numFmtId="0" fontId="4" fillId="41" borderId="9" xfId="124" applyNumberFormat="1" applyFont="1" applyFill="1" applyBorder="1" applyAlignment="1">
      <alignment horizontal="left"/>
      <protection/>
    </xf>
    <xf numFmtId="0" fontId="23" fillId="41" borderId="9" xfId="124" applyNumberFormat="1" applyFont="1" applyFill="1" applyBorder="1" applyAlignment="1">
      <alignment horizontal="center"/>
      <protection/>
    </xf>
    <xf numFmtId="0" fontId="21" fillId="41" borderId="9" xfId="124" applyFont="1" applyFill="1" applyBorder="1">
      <alignment/>
      <protection/>
    </xf>
    <xf numFmtId="0" fontId="23" fillId="41" borderId="9" xfId="124" applyNumberFormat="1" applyFont="1" applyFill="1" applyBorder="1">
      <alignment/>
      <protection/>
    </xf>
    <xf numFmtId="3" fontId="23" fillId="41" borderId="9" xfId="124" applyNumberFormat="1" applyFont="1" applyFill="1" applyBorder="1">
      <alignment/>
      <protection/>
    </xf>
    <xf numFmtId="166" fontId="23" fillId="41" borderId="9" xfId="164" applyNumberFormat="1" applyFont="1" applyFill="1" applyBorder="1" applyAlignment="1">
      <alignment horizontal="center"/>
    </xf>
    <xf numFmtId="0" fontId="32" fillId="41" borderId="9" xfId="124" applyFont="1" applyFill="1" applyBorder="1">
      <alignment/>
      <protection/>
    </xf>
    <xf numFmtId="0" fontId="2" fillId="41" borderId="9" xfId="124" applyFont="1" applyFill="1" applyBorder="1" applyAlignment="1">
      <alignment horizontal="center"/>
      <protection/>
    </xf>
    <xf numFmtId="189" fontId="4" fillId="41" borderId="9" xfId="124" applyNumberFormat="1" applyFont="1" applyFill="1" applyBorder="1" applyAlignment="1">
      <alignment horizontal="centerContinuous"/>
      <protection/>
    </xf>
    <xf numFmtId="195" fontId="4" fillId="41" borderId="9" xfId="82" applyNumberFormat="1" applyFont="1" applyFill="1" applyBorder="1" applyAlignment="1">
      <alignment horizontal="centerContinuous"/>
    </xf>
    <xf numFmtId="15" fontId="4" fillId="40" borderId="0" xfId="124" applyNumberFormat="1" applyFont="1" applyFill="1" applyAlignment="1">
      <alignment horizontal="centerContinuous"/>
      <protection/>
    </xf>
    <xf numFmtId="0" fontId="4" fillId="40" borderId="0" xfId="124" applyNumberFormat="1" applyFont="1" applyFill="1" applyAlignment="1">
      <alignment horizontal="centerContinuous"/>
      <protection/>
    </xf>
    <xf numFmtId="0" fontId="4" fillId="40" borderId="0" xfId="124" applyFont="1" applyFill="1" applyAlignment="1">
      <alignment horizontal="centerContinuous"/>
      <protection/>
    </xf>
    <xf numFmtId="194" fontId="4" fillId="41" borderId="51" xfId="124" applyNumberFormat="1" applyFont="1" applyFill="1" applyBorder="1" applyAlignment="1">
      <alignment horizontal="right"/>
      <protection/>
    </xf>
    <xf numFmtId="0" fontId="43" fillId="39" borderId="0" xfId="124" applyNumberFormat="1" applyFont="1" applyFill="1" applyAlignment="1">
      <alignment horizontal="centerContinuous"/>
      <protection/>
    </xf>
    <xf numFmtId="0" fontId="42" fillId="39" borderId="0" xfId="124" applyFont="1" applyFill="1" applyAlignment="1">
      <alignment horizontal="centerContinuous"/>
      <protection/>
    </xf>
    <xf numFmtId="0" fontId="93" fillId="41" borderId="0" xfId="124" applyNumberFormat="1" applyFont="1" applyFill="1" applyAlignment="1">
      <alignment horizontal="centerContinuous"/>
      <protection/>
    </xf>
    <xf numFmtId="0" fontId="23" fillId="0" borderId="0" xfId="0" applyFont="1" applyFill="1" applyAlignment="1">
      <alignment/>
    </xf>
    <xf numFmtId="2" fontId="2" fillId="41" borderId="0" xfId="0" applyNumberFormat="1" applyFont="1" applyFill="1" applyAlignment="1">
      <alignment/>
    </xf>
    <xf numFmtId="9" fontId="2" fillId="41" borderId="0" xfId="0" applyNumberFormat="1" applyFont="1" applyFill="1" applyAlignment="1">
      <alignment/>
    </xf>
    <xf numFmtId="0" fontId="2" fillId="0" borderId="36" xfId="0" applyFont="1" applyBorder="1" applyAlignment="1">
      <alignment/>
    </xf>
    <xf numFmtId="167" fontId="2" fillId="0" borderId="16" xfId="0" applyNumberFormat="1" applyFont="1" applyBorder="1" applyAlignment="1">
      <alignment/>
    </xf>
    <xf numFmtId="167" fontId="2" fillId="0" borderId="36" xfId="0" applyNumberFormat="1" applyFont="1" applyBorder="1" applyAlignment="1">
      <alignment/>
    </xf>
    <xf numFmtId="1" fontId="2" fillId="42" borderId="0" xfId="0" applyNumberFormat="1" applyFont="1" applyFill="1" applyAlignment="1">
      <alignment/>
    </xf>
    <xf numFmtId="172" fontId="2" fillId="42" borderId="23" xfId="134" applyNumberFormat="1" applyFont="1" applyFill="1" applyBorder="1" applyAlignment="1">
      <alignment horizontal="left" vertical="center"/>
      <protection/>
    </xf>
    <xf numFmtId="168" fontId="8" fillId="42" borderId="23" xfId="134" applyNumberFormat="1" applyFont="1" applyFill="1" applyBorder="1" applyAlignment="1">
      <alignment/>
      <protection/>
    </xf>
    <xf numFmtId="168" fontId="8" fillId="42" borderId="24" xfId="134" applyNumberFormat="1" applyFont="1" applyFill="1" applyBorder="1" applyAlignment="1">
      <alignment/>
      <protection/>
    </xf>
    <xf numFmtId="0" fontId="4" fillId="42" borderId="23" xfId="134" applyNumberFormat="1" applyFont="1" applyFill="1" applyBorder="1" applyAlignment="1">
      <alignment horizontal="left" vertical="center"/>
      <protection/>
    </xf>
    <xf numFmtId="168" fontId="10" fillId="42" borderId="23" xfId="134" applyNumberFormat="1" applyFont="1" applyFill="1" applyBorder="1" applyAlignment="1">
      <alignment/>
      <protection/>
    </xf>
    <xf numFmtId="168" fontId="10" fillId="42" borderId="24" xfId="134" applyNumberFormat="1" applyFont="1" applyFill="1" applyBorder="1" applyAlignment="1">
      <alignment/>
      <protection/>
    </xf>
    <xf numFmtId="0" fontId="91" fillId="41" borderId="0" xfId="127" applyFont="1" applyFill="1">
      <alignment/>
      <protection/>
    </xf>
    <xf numFmtId="0" fontId="74" fillId="41" borderId="0" xfId="127" applyFill="1">
      <alignment/>
      <protection/>
    </xf>
    <xf numFmtId="0" fontId="91" fillId="41" borderId="0" xfId="127" applyFont="1" applyFill="1" applyAlignment="1">
      <alignment horizontal="center"/>
      <protection/>
    </xf>
    <xf numFmtId="0" fontId="91" fillId="41" borderId="9" xfId="127" applyFont="1" applyFill="1" applyBorder="1" applyAlignment="1">
      <alignment horizontal="center" vertical="center"/>
      <protection/>
    </xf>
    <xf numFmtId="0" fontId="91" fillId="41" borderId="9" xfId="127" applyFont="1" applyFill="1" applyBorder="1" applyAlignment="1">
      <alignment horizontal="center"/>
      <protection/>
    </xf>
    <xf numFmtId="0" fontId="74" fillId="41" borderId="9" xfId="127" applyFont="1" applyFill="1" applyBorder="1" applyAlignment="1">
      <alignment horizontal="right"/>
      <protection/>
    </xf>
    <xf numFmtId="0" fontId="74" fillId="41" borderId="9" xfId="127" applyFill="1" applyBorder="1">
      <alignment/>
      <protection/>
    </xf>
    <xf numFmtId="0" fontId="91" fillId="41" borderId="9" xfId="127" applyFont="1" applyFill="1" applyBorder="1">
      <alignment/>
      <protection/>
    </xf>
    <xf numFmtId="2" fontId="74" fillId="41" borderId="0" xfId="127" applyNumberFormat="1" applyFill="1">
      <alignment/>
      <protection/>
    </xf>
    <xf numFmtId="0" fontId="74" fillId="41" borderId="27" xfId="127" applyFill="1" applyBorder="1">
      <alignment/>
      <protection/>
    </xf>
    <xf numFmtId="0" fontId="91" fillId="41" borderId="65" xfId="127" applyFont="1" applyFill="1" applyBorder="1">
      <alignment/>
      <protection/>
    </xf>
    <xf numFmtId="0" fontId="91" fillId="41" borderId="66" xfId="127" applyFont="1" applyFill="1" applyBorder="1">
      <alignment/>
      <protection/>
    </xf>
    <xf numFmtId="0" fontId="74" fillId="41" borderId="28" xfId="127" applyFill="1" applyBorder="1">
      <alignment/>
      <protection/>
    </xf>
    <xf numFmtId="0" fontId="74" fillId="41" borderId="0" xfId="127" applyFill="1" applyBorder="1">
      <alignment/>
      <protection/>
    </xf>
    <xf numFmtId="0" fontId="74" fillId="41" borderId="3" xfId="127" applyFill="1" applyBorder="1">
      <alignment/>
      <protection/>
    </xf>
    <xf numFmtId="0" fontId="91" fillId="41" borderId="29" xfId="127" applyFont="1" applyFill="1" applyBorder="1">
      <alignment/>
      <protection/>
    </xf>
    <xf numFmtId="164" fontId="74" fillId="41" borderId="59" xfId="127" applyNumberFormat="1" applyFill="1" applyBorder="1">
      <alignment/>
      <protection/>
    </xf>
    <xf numFmtId="164" fontId="74" fillId="41" borderId="60" xfId="127" applyNumberFormat="1" applyFill="1" applyBorder="1">
      <alignment/>
      <protection/>
    </xf>
    <xf numFmtId="0" fontId="74" fillId="41" borderId="29" xfId="127" applyFill="1" applyBorder="1">
      <alignment/>
      <protection/>
    </xf>
    <xf numFmtId="2" fontId="74" fillId="41" borderId="0" xfId="127" applyNumberFormat="1" applyFill="1" applyBorder="1">
      <alignment/>
      <protection/>
    </xf>
    <xf numFmtId="2" fontId="74" fillId="41" borderId="3" xfId="127" applyNumberFormat="1" applyFill="1" applyBorder="1">
      <alignment/>
      <protection/>
    </xf>
    <xf numFmtId="2" fontId="91" fillId="41" borderId="0" xfId="127" applyNumberFormat="1" applyFont="1" applyFill="1">
      <alignment/>
      <protection/>
    </xf>
    <xf numFmtId="166" fontId="74" fillId="41" borderId="0" xfId="127" applyNumberFormat="1" applyFill="1">
      <alignment/>
      <protection/>
    </xf>
    <xf numFmtId="166" fontId="74" fillId="41" borderId="0" xfId="127" applyNumberFormat="1" applyFill="1" applyBorder="1">
      <alignment/>
      <protection/>
    </xf>
    <xf numFmtId="166" fontId="74" fillId="41" borderId="3" xfId="127" applyNumberFormat="1" applyFill="1" applyBorder="1">
      <alignment/>
      <protection/>
    </xf>
    <xf numFmtId="166" fontId="74" fillId="41" borderId="59" xfId="127" applyNumberFormat="1" applyFill="1" applyBorder="1">
      <alignment/>
      <protection/>
    </xf>
    <xf numFmtId="166" fontId="74" fillId="41" borderId="60" xfId="127" applyNumberFormat="1" applyFill="1" applyBorder="1">
      <alignment/>
      <protection/>
    </xf>
    <xf numFmtId="1" fontId="2" fillId="0" borderId="0" xfId="0" applyNumberFormat="1" applyFont="1" applyAlignment="1">
      <alignment/>
    </xf>
    <xf numFmtId="2" fontId="4" fillId="42" borderId="5" xfId="0" applyNumberFormat="1" applyFont="1" applyFill="1" applyBorder="1" applyAlignment="1">
      <alignment/>
    </xf>
    <xf numFmtId="8" fontId="2" fillId="0" borderId="0" xfId="0" applyNumberFormat="1" applyFont="1" applyAlignment="1">
      <alignment/>
    </xf>
    <xf numFmtId="2" fontId="102" fillId="41" borderId="0" xfId="0" applyNumberFormat="1" applyFont="1" applyFill="1" applyAlignment="1">
      <alignment/>
    </xf>
    <xf numFmtId="0" fontId="104" fillId="41" borderId="0" xfId="0" applyFont="1" applyFill="1" applyAlignment="1">
      <alignment/>
    </xf>
    <xf numFmtId="164" fontId="102" fillId="41" borderId="0" xfId="0" applyNumberFormat="1" applyFont="1" applyFill="1" applyAlignment="1">
      <alignment/>
    </xf>
    <xf numFmtId="9" fontId="102" fillId="41" borderId="0" xfId="0" applyNumberFormat="1" applyFont="1" applyFill="1" applyAlignment="1">
      <alignment/>
    </xf>
    <xf numFmtId="0" fontId="4" fillId="0" borderId="5" xfId="0" applyFont="1" applyBorder="1" applyAlignment="1">
      <alignment wrapText="1"/>
    </xf>
    <xf numFmtId="10" fontId="21" fillId="41" borderId="0" xfId="0" applyNumberFormat="1" applyFont="1" applyFill="1" applyBorder="1" applyAlignment="1">
      <alignment/>
    </xf>
    <xf numFmtId="0" fontId="0" fillId="0" borderId="0" xfId="0" applyFont="1" applyFill="1" applyAlignment="1">
      <alignment/>
    </xf>
    <xf numFmtId="164" fontId="0" fillId="0" borderId="0" xfId="0" applyNumberFormat="1" applyFont="1" applyFill="1" applyAlignment="1">
      <alignment/>
    </xf>
    <xf numFmtId="203" fontId="2" fillId="0" borderId="0" xfId="0" applyNumberFormat="1" applyFont="1" applyAlignment="1">
      <alignment/>
    </xf>
    <xf numFmtId="43" fontId="4" fillId="0" borderId="0" xfId="51" applyNumberFormat="1" applyFont="1" applyFill="1" applyBorder="1" applyAlignment="1">
      <alignment/>
    </xf>
    <xf numFmtId="196" fontId="93" fillId="38" borderId="0" xfId="0" applyNumberFormat="1" applyFont="1" applyFill="1" applyBorder="1" applyAlignment="1">
      <alignment/>
    </xf>
    <xf numFmtId="0" fontId="4" fillId="34" borderId="0" xfId="0" applyFont="1" applyFill="1" applyAlignment="1">
      <alignment/>
    </xf>
    <xf numFmtId="0" fontId="101" fillId="39" borderId="9" xfId="0" applyFont="1" applyFill="1" applyBorder="1" applyAlignment="1">
      <alignment/>
    </xf>
    <xf numFmtId="0" fontId="102" fillId="39" borderId="9" xfId="0" applyFont="1" applyFill="1" applyBorder="1" applyAlignment="1">
      <alignment/>
    </xf>
    <xf numFmtId="0" fontId="2" fillId="0" borderId="9" xfId="0" applyFont="1" applyBorder="1" applyAlignment="1">
      <alignment horizontal="center"/>
    </xf>
    <xf numFmtId="3" fontId="2" fillId="0" borderId="9" xfId="0" applyNumberFormat="1" applyFont="1" applyBorder="1" applyAlignment="1">
      <alignment/>
    </xf>
    <xf numFmtId="0" fontId="3" fillId="37" borderId="9" xfId="0" applyFont="1" applyFill="1" applyBorder="1" applyAlignment="1">
      <alignment/>
    </xf>
    <xf numFmtId="0" fontId="4" fillId="30" borderId="9" xfId="0" applyFont="1" applyFill="1" applyBorder="1" applyAlignment="1">
      <alignment/>
    </xf>
    <xf numFmtId="9" fontId="102" fillId="41" borderId="9" xfId="0" applyNumberFormat="1" applyFont="1" applyFill="1" applyBorder="1" applyAlignment="1">
      <alignment/>
    </xf>
    <xf numFmtId="164" fontId="2" fillId="0" borderId="9" xfId="0" applyNumberFormat="1" applyFont="1" applyFill="1" applyBorder="1" applyAlignment="1">
      <alignment/>
    </xf>
    <xf numFmtId="8" fontId="2" fillId="0" borderId="9" xfId="0" applyNumberFormat="1" applyFont="1" applyBorder="1" applyAlignment="1">
      <alignment/>
    </xf>
    <xf numFmtId="9" fontId="2" fillId="0" borderId="9" xfId="0" applyNumberFormat="1" applyFont="1" applyBorder="1" applyAlignment="1">
      <alignment/>
    </xf>
    <xf numFmtId="10" fontId="2" fillId="0" borderId="9" xfId="153" applyNumberFormat="1" applyFont="1" applyBorder="1" applyAlignment="1">
      <alignment/>
    </xf>
    <xf numFmtId="10" fontId="4" fillId="41" borderId="9" xfId="153" applyNumberFormat="1" applyFont="1" applyFill="1" applyBorder="1" applyAlignment="1">
      <alignment/>
    </xf>
    <xf numFmtId="172" fontId="2" fillId="0" borderId="9" xfId="0" applyNumberFormat="1" applyFont="1" applyFill="1" applyBorder="1" applyAlignment="1">
      <alignment/>
    </xf>
    <xf numFmtId="186" fontId="2" fillId="0" borderId="9" xfId="0" applyNumberFormat="1" applyFont="1" applyBorder="1" applyAlignment="1">
      <alignment/>
    </xf>
    <xf numFmtId="172" fontId="2" fillId="0" borderId="9" xfId="0" applyNumberFormat="1" applyFont="1" applyBorder="1" applyAlignment="1">
      <alignment/>
    </xf>
    <xf numFmtId="185" fontId="2" fillId="0" borderId="9" xfId="0" applyNumberFormat="1" applyFont="1" applyBorder="1" applyAlignment="1">
      <alignment/>
    </xf>
    <xf numFmtId="185" fontId="2" fillId="41" borderId="9" xfId="0" applyNumberFormat="1" applyFont="1" applyFill="1" applyBorder="1" applyAlignment="1">
      <alignment/>
    </xf>
    <xf numFmtId="180" fontId="2" fillId="0" borderId="9" xfId="0" applyNumberFormat="1" applyFont="1" applyBorder="1" applyAlignment="1">
      <alignment/>
    </xf>
    <xf numFmtId="2" fontId="2" fillId="0" borderId="9" xfId="0" applyNumberFormat="1" applyFont="1" applyFill="1" applyBorder="1" applyAlignment="1">
      <alignment/>
    </xf>
    <xf numFmtId="9" fontId="2" fillId="0" borderId="9" xfId="153" applyFont="1" applyBorder="1" applyAlignment="1">
      <alignment/>
    </xf>
    <xf numFmtId="2" fontId="2" fillId="0" borderId="9" xfId="0" applyNumberFormat="1" applyFont="1" applyFill="1" applyBorder="1" applyAlignment="1">
      <alignment horizontal="left" indent="1"/>
    </xf>
    <xf numFmtId="10" fontId="2" fillId="0" borderId="9" xfId="0" applyNumberFormat="1" applyFont="1" applyFill="1" applyBorder="1" applyAlignment="1">
      <alignment horizontal="center" vertical="center"/>
    </xf>
    <xf numFmtId="2" fontId="2" fillId="41" borderId="9" xfId="0" applyNumberFormat="1" applyFont="1" applyFill="1" applyBorder="1" applyAlignment="1">
      <alignment/>
    </xf>
    <xf numFmtId="0" fontId="2" fillId="41" borderId="9" xfId="0" applyFont="1" applyFill="1" applyBorder="1" applyAlignment="1">
      <alignment/>
    </xf>
    <xf numFmtId="9" fontId="2" fillId="0" borderId="9" xfId="0" applyNumberFormat="1" applyFont="1" applyFill="1" applyBorder="1" applyAlignment="1">
      <alignment horizontal="center" vertical="center"/>
    </xf>
    <xf numFmtId="2" fontId="2" fillId="0" borderId="9" xfId="0" applyNumberFormat="1" applyFont="1" applyBorder="1" applyAlignment="1">
      <alignment/>
    </xf>
    <xf numFmtId="9" fontId="2" fillId="41" borderId="9" xfId="153" applyFont="1" applyFill="1" applyBorder="1" applyAlignment="1">
      <alignment/>
    </xf>
    <xf numFmtId="2" fontId="4" fillId="0" borderId="9" xfId="0" applyNumberFormat="1" applyFont="1" applyFill="1" applyBorder="1" applyAlignment="1">
      <alignment/>
    </xf>
    <xf numFmtId="2" fontId="2" fillId="0" borderId="9" xfId="0" applyNumberFormat="1" applyFont="1" applyFill="1" applyBorder="1" applyAlignment="1">
      <alignment horizontal="left"/>
    </xf>
    <xf numFmtId="10" fontId="2" fillId="0" borderId="9" xfId="153" applyNumberFormat="1" applyFont="1" applyFill="1" applyBorder="1" applyAlignment="1">
      <alignment/>
    </xf>
    <xf numFmtId="2" fontId="4" fillId="0" borderId="9" xfId="0" applyNumberFormat="1" applyFont="1" applyFill="1" applyBorder="1" applyAlignment="1">
      <alignment/>
    </xf>
    <xf numFmtId="2" fontId="4" fillId="0" borderId="9" xfId="0" applyNumberFormat="1" applyFont="1" applyFill="1" applyBorder="1" applyAlignment="1">
      <alignment wrapText="1"/>
    </xf>
    <xf numFmtId="1" fontId="4" fillId="0" borderId="9" xfId="0" applyNumberFormat="1" applyFont="1" applyBorder="1" applyAlignment="1">
      <alignment/>
    </xf>
    <xf numFmtId="1" fontId="2" fillId="22" borderId="9" xfId="0" applyNumberFormat="1" applyFont="1" applyFill="1" applyBorder="1" applyAlignment="1">
      <alignment/>
    </xf>
    <xf numFmtId="1" fontId="2" fillId="41" borderId="9" xfId="0" applyNumberFormat="1" applyFont="1" applyFill="1" applyBorder="1" applyAlignment="1">
      <alignment/>
    </xf>
    <xf numFmtId="1" fontId="2" fillId="0" borderId="9" xfId="0" applyNumberFormat="1" applyFont="1" applyFill="1" applyBorder="1" applyAlignment="1">
      <alignment/>
    </xf>
    <xf numFmtId="9" fontId="2" fillId="0" borderId="9" xfId="153" applyFont="1" applyFill="1" applyBorder="1" applyAlignment="1">
      <alignment/>
    </xf>
    <xf numFmtId="1" fontId="2" fillId="0" borderId="9" xfId="153" applyNumberFormat="1" applyFont="1" applyFill="1" applyBorder="1" applyAlignment="1">
      <alignment/>
    </xf>
    <xf numFmtId="166" fontId="2" fillId="0" borderId="9" xfId="153" applyNumberFormat="1" applyFont="1" applyFill="1" applyBorder="1" applyAlignment="1">
      <alignment/>
    </xf>
    <xf numFmtId="9" fontId="2" fillId="0" borderId="9" xfId="153" applyNumberFormat="1" applyFont="1" applyFill="1" applyBorder="1" applyAlignment="1">
      <alignment horizontal="right"/>
    </xf>
    <xf numFmtId="9" fontId="2" fillId="0" borderId="9" xfId="153" applyFont="1" applyFill="1" applyBorder="1" applyAlignment="1">
      <alignment horizontal="right"/>
    </xf>
    <xf numFmtId="1" fontId="2" fillId="0" borderId="9" xfId="0" applyNumberFormat="1" applyFont="1" applyBorder="1" applyAlignment="1">
      <alignment/>
    </xf>
    <xf numFmtId="2" fontId="2" fillId="0" borderId="9" xfId="0" applyNumberFormat="1" applyFont="1" applyFill="1" applyBorder="1" applyAlignment="1">
      <alignment/>
    </xf>
    <xf numFmtId="2" fontId="2" fillId="41" borderId="9" xfId="0" applyNumberFormat="1" applyFont="1" applyFill="1" applyBorder="1" applyAlignment="1">
      <alignment/>
    </xf>
    <xf numFmtId="9" fontId="4" fillId="30" borderId="9" xfId="0" applyNumberFormat="1" applyFont="1" applyFill="1" applyBorder="1" applyAlignment="1">
      <alignment/>
    </xf>
    <xf numFmtId="0" fontId="4" fillId="30" borderId="9" xfId="0" applyFont="1" applyFill="1" applyBorder="1" applyAlignment="1">
      <alignment horizontal="right"/>
    </xf>
    <xf numFmtId="0" fontId="4" fillId="0" borderId="9" xfId="0" applyFont="1" applyBorder="1" applyAlignment="1">
      <alignment/>
    </xf>
    <xf numFmtId="4" fontId="2" fillId="0" borderId="9" xfId="0" applyNumberFormat="1" applyFont="1" applyFill="1" applyBorder="1" applyAlignment="1">
      <alignment/>
    </xf>
    <xf numFmtId="0" fontId="2" fillId="0" borderId="9" xfId="0" applyFont="1" applyBorder="1" applyAlignment="1">
      <alignment horizontal="left" indent="1"/>
    </xf>
    <xf numFmtId="10" fontId="2" fillId="0" borderId="9" xfId="0" applyNumberFormat="1" applyFont="1" applyBorder="1" applyAlignment="1">
      <alignment/>
    </xf>
    <xf numFmtId="10" fontId="4" fillId="0" borderId="9" xfId="0" applyNumberFormat="1" applyFont="1" applyBorder="1" applyAlignment="1">
      <alignment horizontal="center"/>
    </xf>
    <xf numFmtId="0" fontId="4" fillId="0" borderId="9" xfId="0" applyFont="1" applyBorder="1" applyAlignment="1">
      <alignment horizontal="center"/>
    </xf>
    <xf numFmtId="9" fontId="2" fillId="0" borderId="9" xfId="0" applyNumberFormat="1" applyFont="1" applyFill="1" applyBorder="1" applyAlignment="1">
      <alignment/>
    </xf>
    <xf numFmtId="166" fontId="2" fillId="0" borderId="9" xfId="153" applyNumberFormat="1" applyFont="1" applyBorder="1" applyAlignment="1">
      <alignment/>
    </xf>
    <xf numFmtId="166" fontId="2" fillId="0" borderId="9" xfId="0" applyNumberFormat="1" applyFont="1" applyBorder="1" applyAlignment="1">
      <alignment horizontal="right"/>
    </xf>
    <xf numFmtId="0" fontId="2" fillId="0" borderId="9" xfId="0" applyFont="1" applyBorder="1" applyAlignment="1">
      <alignment horizontal="right"/>
    </xf>
    <xf numFmtId="166" fontId="2" fillId="0" borderId="9" xfId="0" applyNumberFormat="1" applyFont="1" applyBorder="1" applyAlignment="1">
      <alignment/>
    </xf>
    <xf numFmtId="167" fontId="2" fillId="0" borderId="9" xfId="51" applyNumberFormat="1" applyFont="1" applyBorder="1" applyAlignment="1">
      <alignment/>
    </xf>
    <xf numFmtId="165" fontId="2" fillId="0" borderId="9" xfId="51" applyNumberFormat="1" applyFont="1" applyBorder="1" applyAlignment="1">
      <alignment/>
    </xf>
    <xf numFmtId="165" fontId="2" fillId="0" borderId="9" xfId="0" applyNumberFormat="1" applyFont="1" applyBorder="1" applyAlignment="1">
      <alignment/>
    </xf>
    <xf numFmtId="167" fontId="2" fillId="0" borderId="9" xfId="0" applyNumberFormat="1" applyFont="1" applyBorder="1" applyAlignment="1">
      <alignment/>
    </xf>
    <xf numFmtId="9" fontId="4" fillId="0" borderId="9" xfId="153" applyFont="1" applyBorder="1" applyAlignment="1">
      <alignment/>
    </xf>
    <xf numFmtId="0" fontId="21" fillId="41" borderId="9" xfId="0" applyFont="1" applyFill="1" applyBorder="1" applyAlignment="1">
      <alignment/>
    </xf>
    <xf numFmtId="0" fontId="21" fillId="0" borderId="9" xfId="0" applyFont="1" applyBorder="1" applyAlignment="1">
      <alignment/>
    </xf>
    <xf numFmtId="164" fontId="4" fillId="0" borderId="9" xfId="0" applyNumberFormat="1" applyFont="1" applyBorder="1" applyAlignment="1">
      <alignment/>
    </xf>
    <xf numFmtId="0" fontId="4" fillId="30" borderId="9" xfId="0" applyFont="1" applyFill="1" applyBorder="1" applyAlignment="1">
      <alignment horizontal="center" wrapText="1"/>
    </xf>
    <xf numFmtId="0" fontId="4" fillId="30" borderId="0" xfId="0" applyFont="1" applyFill="1" applyAlignment="1">
      <alignment horizontal="center" vertical="center"/>
    </xf>
    <xf numFmtId="0" fontId="4" fillId="0" borderId="23" xfId="134" applyNumberFormat="1" applyFont="1" applyFill="1" applyBorder="1" applyAlignment="1">
      <alignment horizontal="center" vertical="center"/>
      <protection/>
    </xf>
    <xf numFmtId="0" fontId="26" fillId="0" borderId="67" xfId="0" applyFont="1" applyFill="1" applyBorder="1" applyAlignment="1">
      <alignment horizontal="center"/>
    </xf>
    <xf numFmtId="0" fontId="26" fillId="0" borderId="68" xfId="0" applyFont="1" applyFill="1" applyBorder="1" applyAlignment="1">
      <alignment horizontal="center"/>
    </xf>
    <xf numFmtId="0" fontId="26" fillId="0" borderId="69" xfId="0" applyFont="1" applyFill="1" applyBorder="1" applyAlignment="1">
      <alignment horizontal="center"/>
    </xf>
    <xf numFmtId="0" fontId="4" fillId="0" borderId="70" xfId="134" applyNumberFormat="1" applyFont="1" applyFill="1" applyBorder="1" applyAlignment="1">
      <alignment horizontal="center" vertical="center"/>
      <protection/>
    </xf>
    <xf numFmtId="0" fontId="4" fillId="0" borderId="71" xfId="134" applyNumberFormat="1" applyFont="1" applyFill="1" applyBorder="1" applyAlignment="1">
      <alignment horizontal="center" vertical="center"/>
      <protection/>
    </xf>
    <xf numFmtId="0" fontId="4" fillId="0" borderId="72" xfId="134" applyNumberFormat="1" applyFont="1" applyFill="1" applyBorder="1" applyAlignment="1">
      <alignment horizontal="center" vertical="center"/>
      <protection/>
    </xf>
    <xf numFmtId="0" fontId="4" fillId="0" borderId="73" xfId="134" applyNumberFormat="1" applyFont="1" applyFill="1" applyBorder="1" applyAlignment="1">
      <alignment horizontal="center" vertical="center"/>
      <protection/>
    </xf>
    <xf numFmtId="0" fontId="4" fillId="42" borderId="70" xfId="134" applyNumberFormat="1" applyFont="1" applyFill="1" applyBorder="1" applyAlignment="1">
      <alignment horizontal="center" vertical="center"/>
      <protection/>
    </xf>
    <xf numFmtId="0" fontId="4" fillId="42" borderId="23" xfId="134" applyNumberFormat="1" applyFont="1" applyFill="1" applyBorder="1" applyAlignment="1">
      <alignment horizontal="center" vertical="center"/>
      <protection/>
    </xf>
    <xf numFmtId="0" fontId="99" fillId="0" borderId="23" xfId="134" applyNumberFormat="1" applyFont="1" applyFill="1" applyBorder="1" applyAlignment="1">
      <alignment horizontal="center" vertical="center"/>
      <protection/>
    </xf>
    <xf numFmtId="0" fontId="99" fillId="0" borderId="70" xfId="134" applyNumberFormat="1" applyFont="1" applyFill="1" applyBorder="1" applyAlignment="1">
      <alignment horizontal="center" vertical="center"/>
      <protection/>
    </xf>
    <xf numFmtId="0" fontId="91" fillId="41" borderId="19" xfId="127" applyFont="1" applyFill="1" applyBorder="1" applyAlignment="1">
      <alignment horizontal="center" vertical="center"/>
      <protection/>
    </xf>
    <xf numFmtId="0" fontId="91" fillId="41" borderId="18" xfId="127" applyFont="1" applyFill="1" applyBorder="1" applyAlignment="1">
      <alignment horizontal="center" vertical="center"/>
      <protection/>
    </xf>
    <xf numFmtId="0" fontId="91" fillId="41" borderId="9" xfId="127" applyFont="1" applyFill="1" applyBorder="1" applyAlignment="1">
      <alignment horizontal="center"/>
      <protection/>
    </xf>
    <xf numFmtId="0" fontId="93" fillId="39" borderId="30" xfId="149" applyFont="1" applyFill="1" applyBorder="1" applyAlignment="1">
      <alignment horizontal="center" vertical="center"/>
      <protection/>
    </xf>
    <xf numFmtId="0" fontId="93" fillId="39" borderId="4" xfId="149" applyFont="1" applyFill="1" applyBorder="1" applyAlignment="1">
      <alignment horizontal="center" vertical="center"/>
      <protection/>
    </xf>
    <xf numFmtId="0" fontId="93" fillId="39" borderId="32" xfId="149" applyFont="1" applyFill="1" applyBorder="1" applyAlignment="1">
      <alignment horizontal="center" vertical="center"/>
      <protection/>
    </xf>
    <xf numFmtId="0" fontId="4" fillId="41" borderId="29" xfId="149" applyFont="1" applyFill="1" applyBorder="1" applyAlignment="1">
      <alignment horizontal="center" vertical="center"/>
      <protection/>
    </xf>
    <xf numFmtId="0" fontId="4" fillId="41" borderId="59" xfId="149" applyFont="1" applyFill="1" applyBorder="1" applyAlignment="1">
      <alignment horizontal="center" vertical="center"/>
      <protection/>
    </xf>
    <xf numFmtId="0" fontId="4" fillId="41" borderId="60" xfId="149" applyFont="1" applyFill="1" applyBorder="1" applyAlignment="1">
      <alignment horizontal="center" vertical="center"/>
      <protection/>
    </xf>
    <xf numFmtId="1" fontId="4" fillId="40" borderId="30" xfId="149" applyNumberFormat="1" applyFont="1" applyFill="1" applyBorder="1" applyAlignment="1">
      <alignment horizontal="center" vertical="center"/>
      <protection/>
    </xf>
    <xf numFmtId="1" fontId="4" fillId="40" borderId="4" xfId="149" applyNumberFormat="1" applyFont="1" applyFill="1" applyBorder="1" applyAlignment="1">
      <alignment horizontal="center" vertical="center"/>
      <protection/>
    </xf>
    <xf numFmtId="1" fontId="4" fillId="40" borderId="32" xfId="149" applyNumberFormat="1" applyFont="1" applyFill="1" applyBorder="1" applyAlignment="1">
      <alignment horizontal="center" vertical="center"/>
      <protection/>
    </xf>
    <xf numFmtId="3" fontId="4" fillId="41" borderId="30" xfId="124" applyNumberFormat="1" applyFont="1" applyFill="1" applyBorder="1" applyAlignment="1">
      <alignment horizontal="center"/>
      <protection/>
    </xf>
    <xf numFmtId="3" fontId="4" fillId="41" borderId="4" xfId="124" applyNumberFormat="1" applyFont="1" applyFill="1" applyBorder="1" applyAlignment="1">
      <alignment horizontal="center"/>
      <protection/>
    </xf>
    <xf numFmtId="3" fontId="4" fillId="41" borderId="32" xfId="124" applyNumberFormat="1" applyFont="1" applyFill="1" applyBorder="1" applyAlignment="1">
      <alignment horizontal="center"/>
      <protection/>
    </xf>
    <xf numFmtId="0" fontId="4" fillId="41" borderId="35" xfId="124" applyNumberFormat="1" applyFont="1" applyFill="1" applyBorder="1" applyAlignment="1">
      <alignment horizontal="center"/>
      <protection/>
    </xf>
    <xf numFmtId="0" fontId="4" fillId="41" borderId="36" xfId="124" applyNumberFormat="1" applyFont="1" applyFill="1" applyBorder="1" applyAlignment="1">
      <alignment horizontal="center"/>
      <protection/>
    </xf>
  </cellXfs>
  <cellStyles count="1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 Currency (0)" xfId="40"/>
    <cellStyle name="Calc Currency (2)" xfId="41"/>
    <cellStyle name="Calc Percent (0)" xfId="42"/>
    <cellStyle name="Calc Percent (1)" xfId="43"/>
    <cellStyle name="Calc Percent (2)" xfId="44"/>
    <cellStyle name="Calc Units (0)" xfId="45"/>
    <cellStyle name="Calc Units (1)" xfId="46"/>
    <cellStyle name="Calc Units (2)" xfId="47"/>
    <cellStyle name="Calculation" xfId="48"/>
    <cellStyle name="CALNDN" xfId="49"/>
    <cellStyle name="Check Cell" xfId="50"/>
    <cellStyle name="Comma" xfId="51"/>
    <cellStyle name="Comma  - Style1" xfId="52"/>
    <cellStyle name="Comma  - Style2" xfId="53"/>
    <cellStyle name="Comma  - Style3" xfId="54"/>
    <cellStyle name="Comma  - Style4" xfId="55"/>
    <cellStyle name="Comma  - Style5" xfId="56"/>
    <cellStyle name="Comma  - Style6" xfId="57"/>
    <cellStyle name="Comma  - Style7" xfId="58"/>
    <cellStyle name="Comma  - Style8" xfId="59"/>
    <cellStyle name="Comma [0]" xfId="60"/>
    <cellStyle name="Comma [00]" xfId="61"/>
    <cellStyle name="Comma 2" xfId="62"/>
    <cellStyle name="Comma 2 2" xfId="63"/>
    <cellStyle name="Comma 2 2 2" xfId="64"/>
    <cellStyle name="Comma 2 3" xfId="65"/>
    <cellStyle name="Comma 2 4" xfId="66"/>
    <cellStyle name="Comma 3" xfId="67"/>
    <cellStyle name="Comma 3 2" xfId="68"/>
    <cellStyle name="Comma 3 3" xfId="69"/>
    <cellStyle name="Comma 4" xfId="70"/>
    <cellStyle name="Comma 4 2" xfId="71"/>
    <cellStyle name="Comma 5" xfId="72"/>
    <cellStyle name="Comma 5 2" xfId="73"/>
    <cellStyle name="Comma 6" xfId="74"/>
    <cellStyle name="Comma 7" xfId="75"/>
    <cellStyle name="Comma 8" xfId="76"/>
    <cellStyle name="Comma_Cost sheet opt 2 Power passthrough" xfId="77"/>
    <cellStyle name="Comma0" xfId="78"/>
    <cellStyle name="Currency" xfId="79"/>
    <cellStyle name="Currency [0]" xfId="80"/>
    <cellStyle name="Currency [00]" xfId="81"/>
    <cellStyle name="Currency 2" xfId="82"/>
    <cellStyle name="Currency 2 2" xfId="83"/>
    <cellStyle name="Currency0" xfId="84"/>
    <cellStyle name="Date" xfId="85"/>
    <cellStyle name="Date Short" xfId="86"/>
    <cellStyle name="Dezimal [0]_Arbeiten" xfId="87"/>
    <cellStyle name="Dezimal_Arbeiten" xfId="88"/>
    <cellStyle name="Enter Currency (0)" xfId="89"/>
    <cellStyle name="Enter Currency (2)" xfId="90"/>
    <cellStyle name="Enter Units (0)" xfId="91"/>
    <cellStyle name="Enter Units (1)" xfId="92"/>
    <cellStyle name="Enter Units (2)" xfId="93"/>
    <cellStyle name="Euro" xfId="94"/>
    <cellStyle name="Explanatory Text" xfId="95"/>
    <cellStyle name="fINANCE" xfId="96"/>
    <cellStyle name="Fixed" xfId="97"/>
    <cellStyle name="FORM" xfId="98"/>
    <cellStyle name="Good" xfId="99"/>
    <cellStyle name="Grey" xfId="100"/>
    <cellStyle name="Header1" xfId="101"/>
    <cellStyle name="Header2" xfId="102"/>
    <cellStyle name="Heading 1" xfId="103"/>
    <cellStyle name="Heading 2" xfId="104"/>
    <cellStyle name="Heading 3" xfId="105"/>
    <cellStyle name="Heading 4" xfId="106"/>
    <cellStyle name="Hyperlink" xfId="107"/>
    <cellStyle name="Hyperlink 2" xfId="108"/>
    <cellStyle name="Input" xfId="109"/>
    <cellStyle name="Input [yellow]" xfId="110"/>
    <cellStyle name="Link Currency (0)" xfId="111"/>
    <cellStyle name="Link Currency (2)" xfId="112"/>
    <cellStyle name="Link Units (0)" xfId="113"/>
    <cellStyle name="Link Units (1)" xfId="114"/>
    <cellStyle name="Link Units (2)" xfId="115"/>
    <cellStyle name="Linked Cell" xfId="116"/>
    <cellStyle name="Milliers [0]" xfId="117"/>
    <cellStyle name="Milliers_Bilan masse avec DP" xfId="118"/>
    <cellStyle name="Monétaire [0]" xfId="119"/>
    <cellStyle name="Monétaire_Bilan masse avec DP" xfId="120"/>
    <cellStyle name="Neutral" xfId="121"/>
    <cellStyle name="Normal - Style1" xfId="122"/>
    <cellStyle name="Normal 10" xfId="123"/>
    <cellStyle name="Normal 11" xfId="124"/>
    <cellStyle name="Normal 12" xfId="125"/>
    <cellStyle name="Normal 13" xfId="126"/>
    <cellStyle name="Normal 14" xfId="127"/>
    <cellStyle name="Normal 2" xfId="128"/>
    <cellStyle name="Normal 2 2" xfId="129"/>
    <cellStyle name="Normal 2 2 2" xfId="130"/>
    <cellStyle name="Normal 2 3" xfId="131"/>
    <cellStyle name="Normal 2 4" xfId="132"/>
    <cellStyle name="Normal 2 5" xfId="133"/>
    <cellStyle name="Normal 3" xfId="134"/>
    <cellStyle name="Normal 3 2" xfId="135"/>
    <cellStyle name="Normal 4" xfId="136"/>
    <cellStyle name="Normal 4 2" xfId="137"/>
    <cellStyle name="Normal 4 3" xfId="138"/>
    <cellStyle name="Normal 5" xfId="139"/>
    <cellStyle name="Normal 6" xfId="140"/>
    <cellStyle name="Normal 6 2" xfId="141"/>
    <cellStyle name="Normal 7" xfId="142"/>
    <cellStyle name="Normal 7 2" xfId="143"/>
    <cellStyle name="Normal 7 3" xfId="144"/>
    <cellStyle name="Normal 8" xfId="145"/>
    <cellStyle name="Normal 8 2" xfId="146"/>
    <cellStyle name="Normal 9" xfId="147"/>
    <cellStyle name="Normal_Cost sheet opt 2 Power passthrough" xfId="148"/>
    <cellStyle name="Normal_Price Break Up" xfId="149"/>
    <cellStyle name="Normale_Foglio1" xfId="150"/>
    <cellStyle name="Note" xfId="151"/>
    <cellStyle name="Output" xfId="152"/>
    <cellStyle name="Percent" xfId="153"/>
    <cellStyle name="Percent [0]" xfId="154"/>
    <cellStyle name="Percent [00]" xfId="155"/>
    <cellStyle name="Percent [2]" xfId="156"/>
    <cellStyle name="Percent 2" xfId="157"/>
    <cellStyle name="Percent 2 2" xfId="158"/>
    <cellStyle name="Percent 3" xfId="159"/>
    <cellStyle name="Percent 3 2" xfId="160"/>
    <cellStyle name="Percent 4" xfId="161"/>
    <cellStyle name="Percent 5" xfId="162"/>
    <cellStyle name="Percent 6" xfId="163"/>
    <cellStyle name="Percent 7" xfId="164"/>
    <cellStyle name="PrePop Currency (0)" xfId="165"/>
    <cellStyle name="PrePop Currency (2)" xfId="166"/>
    <cellStyle name="PrePop Units (0)" xfId="167"/>
    <cellStyle name="PrePop Units (1)" xfId="168"/>
    <cellStyle name="PrePop Units (2)" xfId="169"/>
    <cellStyle name="Prozent[2]" xfId="170"/>
    <cellStyle name="SC" xfId="171"/>
    <cellStyle name="Standard_234  ANLAGE 2" xfId="172"/>
    <cellStyle name="Standard_Kalkulationsbogen" xfId="173"/>
    <cellStyle name="STYL1 - Style1" xfId="174"/>
    <cellStyle name="STYL2 - Style2" xfId="175"/>
    <cellStyle name="STYL3 - Style3" xfId="176"/>
    <cellStyle name="STYL4 - Style4" xfId="177"/>
    <cellStyle name="STYL5 - Style5" xfId="178"/>
    <cellStyle name="Style 1" xfId="179"/>
    <cellStyle name="Summenz." xfId="180"/>
    <cellStyle name="Summenz. 12" xfId="181"/>
    <cellStyle name="Text Indent A" xfId="182"/>
    <cellStyle name="Text Indent B" xfId="183"/>
    <cellStyle name="Text Indent C" xfId="184"/>
    <cellStyle name="Times New Roman" xfId="185"/>
    <cellStyle name="Title" xfId="186"/>
    <cellStyle name="Total" xfId="187"/>
    <cellStyle name="Update" xfId="188"/>
    <cellStyle name="Währung [0]_A_CAS_99" xfId="189"/>
    <cellStyle name="Währung_A_CAS_99" xfId="190"/>
    <cellStyle name="Warning Text" xfId="191"/>
    <cellStyle name="yEAR" xfId="1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externalLink" Target="externalLinks/externalLink8.xml" /><Relationship Id="rId26" Type="http://schemas.openxmlformats.org/officeDocument/2006/relationships/externalLink" Target="externalLinks/externalLink9.xml" /><Relationship Id="rId27" Type="http://schemas.openxmlformats.org/officeDocument/2006/relationships/externalLink" Target="externalLinks/externalLink10.xml" /><Relationship Id="rId28" Type="http://schemas.openxmlformats.org/officeDocument/2006/relationships/externalLink" Target="externalLinks/externalLink11.xml" /><Relationship Id="rId29" Type="http://schemas.openxmlformats.org/officeDocument/2006/relationships/externalLink" Target="externalLinks/externalLink12.xml" /><Relationship Id="rId30" Type="http://schemas.openxmlformats.org/officeDocument/2006/relationships/externalLink" Target="externalLinks/externalLink13.xml" /><Relationship Id="rId31" Type="http://schemas.openxmlformats.org/officeDocument/2006/relationships/externalLink" Target="externalLinks/externalLink14.xml" /><Relationship Id="rId32" Type="http://schemas.openxmlformats.org/officeDocument/2006/relationships/externalLink" Target="externalLinks/externalLink15.xml" /><Relationship Id="rId33" Type="http://schemas.openxmlformats.org/officeDocument/2006/relationships/externalLink" Target="externalLinks/externalLink16.xml" /><Relationship Id="rId34" Type="http://schemas.openxmlformats.org/officeDocument/2006/relationships/externalLink" Target="externalLinks/externalLink17.xml" /><Relationship Id="rId35" Type="http://schemas.openxmlformats.org/officeDocument/2006/relationships/externalLink" Target="externalLinks/externalLink18.xml" /><Relationship Id="rId36" Type="http://schemas.openxmlformats.org/officeDocument/2006/relationships/externalLink" Target="externalLinks/externalLink19.xml" /><Relationship Id="rId37" Type="http://schemas.openxmlformats.org/officeDocument/2006/relationships/externalLink" Target="externalLinks/externalLink20.xml" /><Relationship Id="rId38" Type="http://schemas.openxmlformats.org/officeDocument/2006/relationships/externalLink" Target="externalLinks/externalLink21.xml" /><Relationship Id="rId39" Type="http://schemas.openxmlformats.org/officeDocument/2006/relationships/externalLink" Target="externalLinks/externalLink22.xml" /><Relationship Id="rId4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0" i="0" u="none" baseline="0">
                <a:solidFill>
                  <a:srgbClr val="000000"/>
                </a:solidFill>
                <a:latin typeface="Arial"/>
                <a:ea typeface="Arial"/>
                <a:cs typeface="Arial"/>
              </a:rPr>
              <a:t>Cost structure</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1"/>
              <c:showSerName val="0"/>
              <c:showPercent val="1"/>
            </c:dLbl>
            <c:dLbl>
              <c:idx val="1"/>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dLblPos val="outEnd"/>
              <c:showLegendKey val="0"/>
              <c:showVal val="0"/>
              <c:showBubbleSize val="0"/>
              <c:showCatName val="1"/>
              <c:showSerName val="0"/>
              <c:showPercent val="1"/>
            </c:dLbl>
            <c:dLbl>
              <c:idx val="2"/>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dLblPos val="outEnd"/>
              <c:showLegendKey val="0"/>
              <c:showVal val="0"/>
              <c:showBubbleSize val="0"/>
              <c:showCatName val="1"/>
              <c:showSerName val="0"/>
              <c:showPercent val="1"/>
            </c:dLbl>
            <c:dLbl>
              <c:idx val="3"/>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dLblPos val="outEnd"/>
              <c:showLegendKey val="0"/>
              <c:showVal val="0"/>
              <c:showBubbleSize val="0"/>
              <c:showCatName val="1"/>
              <c:showSerName val="0"/>
              <c:showPercent val="1"/>
            </c:dLbl>
            <c:dLbl>
              <c:idx val="4"/>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dLblPos val="outEnd"/>
              <c:showLegendKey val="0"/>
              <c:showVal val="0"/>
              <c:showBubbleSize val="0"/>
              <c:showCatName val="1"/>
              <c:showSerName val="0"/>
              <c:showPercent val="1"/>
            </c:dLbl>
            <c:dLbl>
              <c:idx val="5"/>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1"/>
              <c:showSerName val="0"/>
              <c:showPercent val="1"/>
            </c:dLbl>
            <c:numFmt formatCode="0%" sourceLinked="0"/>
            <c:spPr>
              <a:noFill/>
              <a:ln w="3175">
                <a:noFill/>
              </a:ln>
            </c:spPr>
            <c:dLblPos val="outEnd"/>
            <c:showLegendKey val="0"/>
            <c:showVal val="0"/>
            <c:showBubbleSize val="0"/>
            <c:showCatName val="1"/>
            <c:showSerName val="0"/>
            <c:showLeaderLines val="0"/>
            <c:showPercent val="1"/>
          </c:dLbls>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Cost structure</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110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dLblPos val="outEnd"/>
            <c:showLegendKey val="0"/>
            <c:showVal val="0"/>
            <c:showBubbleSize val="0"/>
            <c:showCatName val="1"/>
            <c:showSerName val="0"/>
            <c:showLeaderLines val="0"/>
            <c:showPercent val="1"/>
          </c:dLbls>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0" i="0" u="none" baseline="0">
                <a:solidFill>
                  <a:srgbClr val="000000"/>
                </a:solidFill>
                <a:latin typeface="Arial"/>
                <a:ea typeface="Arial"/>
                <a:cs typeface="Arial"/>
              </a:rPr>
              <a:t>Cost structure</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1"/>
              <c:showSerName val="0"/>
              <c:showPercent val="1"/>
            </c:dLbl>
            <c:dLbl>
              <c:idx val="1"/>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dLblPos val="outEnd"/>
              <c:showLegendKey val="0"/>
              <c:showVal val="0"/>
              <c:showBubbleSize val="0"/>
              <c:showCatName val="1"/>
              <c:showSerName val="0"/>
              <c:showPercent val="1"/>
            </c:dLbl>
            <c:dLbl>
              <c:idx val="2"/>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dLblPos val="outEnd"/>
              <c:showLegendKey val="0"/>
              <c:showVal val="0"/>
              <c:showBubbleSize val="0"/>
              <c:showCatName val="1"/>
              <c:showSerName val="0"/>
              <c:showPercent val="1"/>
            </c:dLbl>
            <c:dLbl>
              <c:idx val="3"/>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dLblPos val="outEnd"/>
              <c:showLegendKey val="0"/>
              <c:showVal val="0"/>
              <c:showBubbleSize val="0"/>
              <c:showCatName val="1"/>
              <c:showSerName val="0"/>
              <c:showPercent val="1"/>
            </c:dLbl>
            <c:dLbl>
              <c:idx val="4"/>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dLblPos val="outEnd"/>
              <c:showLegendKey val="0"/>
              <c:showVal val="0"/>
              <c:showBubbleSize val="0"/>
              <c:showCatName val="1"/>
              <c:showSerName val="0"/>
              <c:showPercent val="1"/>
            </c:dLbl>
            <c:dLbl>
              <c:idx val="5"/>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1"/>
              <c:showSerName val="0"/>
              <c:showPercent val="1"/>
            </c:dLbl>
            <c:numFmt formatCode="0%" sourceLinked="0"/>
            <c:spPr>
              <a:noFill/>
              <a:ln w="3175">
                <a:noFill/>
              </a:ln>
            </c:spPr>
            <c:dLblPos val="outEnd"/>
            <c:showLegendKey val="0"/>
            <c:showVal val="0"/>
            <c:showBubbleSize val="0"/>
            <c:showCatName val="1"/>
            <c:showSerName val="0"/>
            <c:showLeaderLines val="0"/>
            <c:showPercent val="1"/>
          </c:dLbls>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Cost structure</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110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dLblPos val="outEnd"/>
            <c:showLegendKey val="0"/>
            <c:showVal val="0"/>
            <c:showBubbleSize val="0"/>
            <c:showCatName val="1"/>
            <c:showSerName val="0"/>
            <c:showLeaderLines val="0"/>
            <c:showPercent val="1"/>
          </c:dLbls>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657225</xdr:colOff>
      <xdr:row>144</xdr:row>
      <xdr:rowOff>0</xdr:rowOff>
    </xdr:from>
    <xdr:to>
      <xdr:col>8</xdr:col>
      <xdr:colOff>866775</xdr:colOff>
      <xdr:row>144</xdr:row>
      <xdr:rowOff>0</xdr:rowOff>
    </xdr:to>
    <xdr:graphicFrame>
      <xdr:nvGraphicFramePr>
        <xdr:cNvPr id="1" name="Chart 1"/>
        <xdr:cNvGraphicFramePr/>
      </xdr:nvGraphicFramePr>
      <xdr:xfrm>
        <a:off x="4676775" y="25003125"/>
        <a:ext cx="3571875" cy="0"/>
      </xdr:xfrm>
      <a:graphic>
        <a:graphicData uri="http://schemas.openxmlformats.org/drawingml/2006/chart">
          <c:chart xmlns:c="http://schemas.openxmlformats.org/drawingml/2006/chart" r:id="rId1"/>
        </a:graphicData>
      </a:graphic>
    </xdr:graphicFrame>
    <xdr:clientData/>
  </xdr:twoCellAnchor>
  <xdr:twoCellAnchor>
    <xdr:from>
      <xdr:col>4</xdr:col>
      <xdr:colOff>581025</xdr:colOff>
      <xdr:row>144</xdr:row>
      <xdr:rowOff>0</xdr:rowOff>
    </xdr:from>
    <xdr:to>
      <xdr:col>8</xdr:col>
      <xdr:colOff>857250</xdr:colOff>
      <xdr:row>144</xdr:row>
      <xdr:rowOff>0</xdr:rowOff>
    </xdr:to>
    <xdr:graphicFrame>
      <xdr:nvGraphicFramePr>
        <xdr:cNvPr id="2" name="Chart 2"/>
        <xdr:cNvGraphicFramePr/>
      </xdr:nvGraphicFramePr>
      <xdr:xfrm>
        <a:off x="4600575" y="25003125"/>
        <a:ext cx="3648075" cy="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657225</xdr:colOff>
      <xdr:row>144</xdr:row>
      <xdr:rowOff>0</xdr:rowOff>
    </xdr:from>
    <xdr:to>
      <xdr:col>8</xdr:col>
      <xdr:colOff>866775</xdr:colOff>
      <xdr:row>144</xdr:row>
      <xdr:rowOff>0</xdr:rowOff>
    </xdr:to>
    <xdr:graphicFrame>
      <xdr:nvGraphicFramePr>
        <xdr:cNvPr id="1" name="Chart 1"/>
        <xdr:cNvGraphicFramePr/>
      </xdr:nvGraphicFramePr>
      <xdr:xfrm>
        <a:off x="4676775" y="25031700"/>
        <a:ext cx="3571875" cy="0"/>
      </xdr:xfrm>
      <a:graphic>
        <a:graphicData uri="http://schemas.openxmlformats.org/drawingml/2006/chart">
          <c:chart xmlns:c="http://schemas.openxmlformats.org/drawingml/2006/chart" r:id="rId1"/>
        </a:graphicData>
      </a:graphic>
    </xdr:graphicFrame>
    <xdr:clientData/>
  </xdr:twoCellAnchor>
  <xdr:twoCellAnchor>
    <xdr:from>
      <xdr:col>4</xdr:col>
      <xdr:colOff>581025</xdr:colOff>
      <xdr:row>144</xdr:row>
      <xdr:rowOff>0</xdr:rowOff>
    </xdr:from>
    <xdr:to>
      <xdr:col>8</xdr:col>
      <xdr:colOff>857250</xdr:colOff>
      <xdr:row>144</xdr:row>
      <xdr:rowOff>0</xdr:rowOff>
    </xdr:to>
    <xdr:graphicFrame>
      <xdr:nvGraphicFramePr>
        <xdr:cNvPr id="2" name="Chart 2"/>
        <xdr:cNvGraphicFramePr/>
      </xdr:nvGraphicFramePr>
      <xdr:xfrm>
        <a:off x="4600575" y="25031700"/>
        <a:ext cx="3648075" cy="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200.200.200.208\Proposals\BWSSB\RajaCanal\Option-A\Design\SludgeSump.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200.200.200.208\Documents%20and%20Settings\Administrator\Desktop\windows\TEMP\Cal_HCC_5.1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Vatech\o&amp;m\Tenders\O&amp;M%20TENDER\CPCL%20DESAL\CPCL%20REVISEDsubmitted14.11.02\Leopold09.12.O2_OrganisedFiles\FRA_t216_011002_ONE%20YEAR%20O&amp;M.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Wabag\Tenders%20II\V12%20-%20394%20-%20AlAnsab\Hand%20Over%20%20-%20Final\Approval%20forms_KUIDFC.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Viesi-fls0005\ww\Holding%20AB-Operations\Projekte%20-%20Operations\Projektentwicklung\restliche%20Welt\Algerien\Reghaia%20-%20A.D11-00004\Angebots%20Docs\WWTP%20Reghaia%2019%20jul04%20%20FINAL.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200.200.200.208\Proposal\S1a\Final-Design-F\Raja%20Canal\RC-Aeration-Nanox.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200.200.200.208\Documents%20and%20Settings\khursheed.INDIA\My%20Documents\aquazurv.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Vatech\o&amp;m\Tenders\O&amp;M%20TENDER\CPCL%20DESAL\CPCL%20REVISEDsubmitted14.11.02\Leopold09.12.O2_OrganisedFiles\CPCL04.12.02.alphA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Vatech\tenders\venkatesh%20babu\D\Vb\PROPOSAL\SEWAGE\VB-294\PRESENT\O&amp;M-Approvals\Bid%20Calculation%20O&amp;M%20%20(beta-vers)%20EN.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Vatech\o&amp;m\Tenders\O&amp;M%20TENDER\DELHI%20JAL%20BOARD\FRA_DJB%20O&amp;M24.12.02.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S:\Holding\GC-Controlling\Miksa\Project-Controlling\GG-03-2000\rev02-d\VA%20TECH%20Genehmigu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00.200.200.208\DOCUME~1\chaware\LOCALS~1\Temp\notesC4A9C8\30MGD%20Okhla%20STP-15-01-07F.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Documents%20and%20Settings\zucal\Desktop\En%20cours%20&#224;CLASSER\QATAR\lusail\LUSAIL%20PEARL%20ISLAND\FDP\FDP%20&amp;%20schedules%20STW\FICHIERS%20FINAUX%2020%20%20au%2023%20oct%202005\FDP%20LUSAIL%20STW%20QATAR%20VF%2022%20oct%2005%2013H00%20.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200.200.200.208\Proposals\45%20-Kondli\Technical-DIN\45Kondli-Process-Future-YDC-R1.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A:\ROCES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Vatech\TendersII\NTPC%20Sipat%20Stage%201\ELECTRICAL\NTPC%20STP%20PROCESS%20CAL.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200.200.200.208\Design\Inde%20summer%20presen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200.200.200.208\DOCUME~1\chaware\LOCALS~1\Temp\notesC4A9C8\KAD-Process-Final.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Vatech\tenders\HCC_Tirupur\Post%20Order\Cal\Biopur%20Rev2.1_avg.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vatech\o&amp;m\Tenders\O&amp;M%20TENDER\CMWSSB_SHIFTED_PRICE\FINANCIAL18.02.03FRC\FRA_Perungudi_base.xlt"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H:\YAMUNA%20VIHAR%20FINAL\Technical\25MGD%20yamuna%20Vihar-Process-20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200.200.200.208\DOCUME~1\chaware\LOCALS~1\Temp\notesC4A9C8\Ond&#233;or%201.9-Okhla-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p"/>
    </sheetNames>
    <sheetDataSet>
      <sheetData sheetId="0">
        <row r="12">
          <cell r="G12">
            <v>417</v>
          </cell>
        </row>
        <row r="17">
          <cell r="G17">
            <v>2.5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ivil"/>
      <sheetName val="Power"/>
      <sheetName val="Mech"/>
      <sheetName val="Civil "/>
      <sheetName val="Process"/>
      <sheetName val="Hydraulics"/>
      <sheetName val="DBW Pump"/>
      <sheetName val="BW Pump"/>
      <sheetName val="CW Pump"/>
      <sheetName val="SW Pump"/>
      <sheetName val="SW Pump (2)"/>
      <sheetName val="Sheet1"/>
      <sheetName val="Process (2)"/>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New_Wabagsheet_REV"/>
      <sheetName val="Project Description"/>
      <sheetName val="Project Information"/>
      <sheetName val="VA TECH-Risk Analysis-O&amp;M"/>
      <sheetName val="Supplement to RA-O&amp;M"/>
      <sheetName val="Input FRC"/>
      <sheetName val="FRC"/>
      <sheetName val="Legal Risk Analysis"/>
      <sheetName val="Minimum Requirement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etailed-Project-Description"/>
      <sheetName val="Project Information"/>
      <sheetName val="VA TECH-Risk Analysis"/>
      <sheetName val="Supplement to RA"/>
      <sheetName val="FRC"/>
      <sheetName val="Legal Risk Analysis"/>
      <sheetName val="Minimum Requirements"/>
      <sheetName val="Input FRC"/>
      <sheetName val="Input FRC_1"/>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ver"/>
      <sheetName val="Bid CalcEuro"/>
      <sheetName val="Bid CalcDZD"/>
      <sheetName val="Graphic"/>
      <sheetName val="LIQU PLAN"/>
      <sheetName val="BPLAN"/>
      <sheetName val="VA TECH-Risikoanalyse-O&amp;M"/>
      <sheetName val="Beiblatt zur RA-O&amp;M"/>
      <sheetName val="Summary Sheet"/>
      <sheetName val="Calculation Offer"/>
      <sheetName val="1Personnel"/>
      <sheetName val="2Energy"/>
      <sheetName val="3Chemicals"/>
      <sheetName val="4Disposal"/>
      <sheetName val="5Maintenance"/>
      <sheetName val="6Reinvestment Costs"/>
      <sheetName val="7 Other Costs"/>
      <sheetName val="Tableau Reghaia"/>
      <sheetName val="Vergleich Tableau Baraki"/>
      <sheetName val="Priceadj"/>
      <sheetName val="Formules Prix"/>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eration"/>
      <sheetName val="Mass Balance"/>
    </sheetNames>
    <sheetDataSet>
      <sheetData sheetId="0">
        <row r="31">
          <cell r="E31">
            <v>3</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aquazurv"/>
      <sheetName val="Dsgn_Crt"/>
      <sheetName val="#REF"/>
      <sheetName val="Récapitulatif"/>
      <sheetName val="DAF"/>
      <sheetName val="Design Parameter"/>
      <sheetName val="Flotation"/>
      <sheetName val="Parshall Flume"/>
      <sheetName val="Sludge Digestion"/>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WabagCostAnalysisSheet"/>
      <sheetName val="BootModelCheck"/>
      <sheetName val="CoverSheet"/>
      <sheetName val="(1)BaseCase"/>
      <sheetName val="(2)Alternative I &amp; II"/>
      <sheetName val="(3)BaseCaseWOesclation"/>
      <sheetName val="(4)Wabagsheet"/>
      <sheetName val="(5)Summary Sheet"/>
      <sheetName val="(6)Personal1"/>
      <sheetName val="(7)Chemicals2"/>
      <sheetName val="(8)Disposal3"/>
      <sheetName val="(9)Maintenance4"/>
      <sheetName val="(10) Other Costs5"/>
      <sheetName val="(11A)Reinvestition6"/>
      <sheetName val="Insurance"/>
      <sheetName val="(13)Energy"/>
      <sheetName val="(11B)replacement7"/>
      <sheetName val="(12)WCT"/>
      <sheetName val="Cover"/>
      <sheetName val="Offer Calc"/>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roject Description"/>
      <sheetName val="Project Information"/>
      <sheetName val="VA TECH-Risk Analysis-O&amp;M"/>
      <sheetName val="Supplement to RA-O&amp;M"/>
      <sheetName val="Legal Risk Analysis"/>
      <sheetName val="Minimum Requirements"/>
      <sheetName val="Zuschläge"/>
      <sheetName val="VA TECH-Risikoanalyse"/>
      <sheetName val="Beiblatt zur RA"/>
      <sheetName val="VA TECH-Risikoanalyse-O&amp;M"/>
      <sheetName val="Beiblatt zur RA-O&amp;M"/>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heet1"/>
      <sheetName val="Input FRC (2)"/>
      <sheetName val="Project Description"/>
      <sheetName val="Project Information"/>
      <sheetName val="VA TECH-Risk Analysis-O&amp;M"/>
      <sheetName val="Supplement to RA-O&amp;M"/>
      <sheetName val="Legal Risk Analysis"/>
      <sheetName val="FRC"/>
      <sheetName val="Minimum Requirements"/>
      <sheetName val="Input "/>
      <sheetName val="New_Wabagsheet_REV"/>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Projektbeschreibung"/>
      <sheetName val="Projektinformation"/>
      <sheetName val="VA TECH-Risikoanalyse"/>
      <sheetName val="Beiblatt zur RA"/>
      <sheetName val="FRK"/>
      <sheetName val="Rechtsrisikoanalyse"/>
      <sheetName val="Minimum Requirement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Unit Size-Civil"/>
      <sheetName val="Design Parameter"/>
      <sheetName val="Pre-Treatment"/>
      <sheetName val="Primary Clarifier"/>
      <sheetName val="Process Calc"/>
      <sheetName val="Chlorination"/>
      <sheetName val="Thickener"/>
      <sheetName val="Digestion"/>
      <sheetName val="Dewatering-SDB"/>
      <sheetName val="Mass Balance "/>
      <sheetName val="Dc Primary Clarifier"/>
      <sheetName val="Mass Balanceex"/>
      <sheetName val="Bypass Channel"/>
      <sheetName val="Parshall Flume-Grit"/>
      <sheetName val="Parshall Flume-Bypass"/>
      <sheetName val="Flotation"/>
      <sheetName val="Biofor-F  Feed Sump"/>
      <sheetName val="Biofor-F feed channel"/>
      <sheetName val="Treated Channel"/>
      <sheetName val="Interconnecting Channel"/>
      <sheetName val="Dewatering-mechanical"/>
      <sheetName val="Filtration"/>
      <sheetName val="Chlorination-ref"/>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Price &amp; qties Hypothes DGT MARU"/>
      <sheetName val="O&amp;M Info"/>
      <sheetName val="Asumptions"/>
      <sheetName val="COST"/>
      <sheetName val="COST OPTION FP"/>
      <sheetName val="Elec Tariff"/>
      <sheetName val="Personnel "/>
      <sheetName val="CPX  conso elec O&amp;M"/>
      <sheetName val="Analysis"/>
      <sheetName val="REACTIFS"/>
      <sheetName val="Cash"/>
      <sheetName val="SCOPE EPC&amp; O&amp;M &amp; preO&amp;M costs"/>
      <sheetName val="SCHEDULE  REEL &amp; CLIENT"/>
      <sheetName val="INDEX FOR PRICE REVISION"/>
      <sheetName val="Pre O&amp;M Cash flow "/>
      <sheetName val="SELL INTERNE "/>
      <sheetName val="Sensitivity"/>
    </sheetNames>
    <sheetDataSet>
      <sheetData sheetId="1">
        <row r="43">
          <cell r="C43">
            <v>4.36753</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ummary-Power Gnrt"/>
      <sheetName val="Elcrt Load List-STP"/>
      <sheetName val="Gas Engine+Grid"/>
      <sheetName val="STP-Power Reqrmt"/>
      <sheetName val="Gas Engine-Power Cal"/>
      <sheetName val="Cover-1"/>
      <sheetName val="scope-w"/>
      <sheetName val="Design Basis"/>
      <sheetName val="process-design-cal"/>
      <sheetName val="Design Parameter"/>
      <sheetName val="Intake-RSS&amp;PH"/>
      <sheetName val="Pre-treatment"/>
      <sheetName val="Primary Clarifier"/>
      <sheetName val="1st Stage Biological"/>
      <sheetName val="D-c Clarifier"/>
      <sheetName val="Biofor-F"/>
      <sheetName val="Thickener"/>
      <sheetName val="Flotation"/>
      <sheetName val="Thickened Sludge Sump"/>
      <sheetName val="Digestion"/>
      <sheetName val="Digested Sludge Sump"/>
      <sheetName val="Dewatering"/>
      <sheetName val="Chlorination"/>
      <sheetName val="Treated Channel"/>
      <sheetName val="Mass Balance"/>
    </sheetNames>
    <sheetDataSet>
      <sheetData sheetId="19">
        <row r="45">
          <cell r="E45">
            <v>6027</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sgn_Crt"/>
      <sheetName val="P_FLUME"/>
      <sheetName val="Me_Screen"/>
      <sheetName val="Densadeg-1"/>
      <sheetName val="BIOFOR-C"/>
      <sheetName val="Sludge"/>
      <sheetName val="Dose_FeSO4"/>
      <sheetName val="Dose_Lime"/>
      <sheetName val="Dose_Poly"/>
      <sheetName val="Chemical"/>
      <sheetName val="Load List"/>
      <sheetName val="USiz"/>
      <sheetName val="Biofor C"/>
    </sheetNames>
    <sheetDataSet>
      <sheetData sheetId="0">
        <row r="50">
          <cell r="I50">
            <v>1.2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t-dm"/>
      <sheetName val="pt-pot"/>
      <sheetName val="pt-cw"/>
      <sheetName val="waste water"/>
      <sheetName val="WW Hyd"/>
      <sheetName val="CSP Hyd PDC"/>
      <sheetName val="PT CW Hyd"/>
      <sheetName val="hydpot"/>
      <sheetName val="hyd DM"/>
      <sheetName val="pt_cw"/>
      <sheetName val="Proces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tice d'utilisation"/>
      <sheetName val="Etape 1"/>
      <sheetName val="Eckenfelder"/>
      <sheetName val="Etape 2"/>
      <sheetName val="Ligne boue"/>
      <sheetName val="Choix"/>
      <sheetName val="Relargage"/>
      <sheetName val="Epaississement"/>
      <sheetName val="Stockage"/>
      <sheetName val="Digestion"/>
      <sheetName val="Déshydratation"/>
      <sheetName val="Bilan"/>
      <sheetName val="Etape 3"/>
      <sheetName val="bilan masse avec DP"/>
      <sheetName val="Etape 4"/>
      <sheetName val="Récapitulati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ver-1"/>
      <sheetName val="Process-Flow Diagram"/>
      <sheetName val="Process Calc"/>
      <sheetName val="Mass Balance-U"/>
      <sheetName val="Mass Balance-P"/>
      <sheetName val="Cover-2"/>
      <sheetName val="Hydraulics (Basic)"/>
      <sheetName val="Hydraulic"/>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BALAN1"/>
      <sheetName val="BIOPUR-C"/>
      <sheetName val="BIOPUR-N"/>
      <sheetName val="BILDBAL-D"/>
      <sheetName val="BILDBAL-E"/>
      <sheetName val="BILDBAL-F"/>
      <sheetName val="N-Konz-Diagr"/>
      <sheetName val="BSB+P+GUST-Konz-Diagr"/>
      <sheetName val="KONZ.XLS"/>
    </sheetNames>
    <sheetDataSet>
      <sheetData sheetId="0">
        <row r="10">
          <cell r="E10">
            <v>0</v>
          </cell>
          <cell r="F10">
            <v>3415.3333333333335</v>
          </cell>
          <cell r="H10">
            <v>3125</v>
          </cell>
        </row>
        <row r="11">
          <cell r="F11">
            <v>4873.666666666666</v>
          </cell>
          <cell r="H11">
            <v>1770.8333333333333</v>
          </cell>
        </row>
        <row r="13">
          <cell r="E13">
            <v>0</v>
          </cell>
          <cell r="F13">
            <v>27272.419545686924</v>
          </cell>
        </row>
        <row r="14">
          <cell r="F14">
            <v>332.7203243422668</v>
          </cell>
        </row>
        <row r="15">
          <cell r="E15">
            <v>0</v>
          </cell>
          <cell r="F15">
            <v>14997.945222128405</v>
          </cell>
        </row>
        <row r="16">
          <cell r="F16">
            <v>182.9731751674849</v>
          </cell>
        </row>
        <row r="17">
          <cell r="F17">
            <v>3135.6292039733808</v>
          </cell>
        </row>
        <row r="18">
          <cell r="F18">
            <v>38.25430904710839</v>
          </cell>
        </row>
        <row r="19">
          <cell r="E19">
            <v>0</v>
          </cell>
          <cell r="F19">
            <v>1286.0651920736336</v>
          </cell>
        </row>
        <row r="20">
          <cell r="F20">
            <v>15.68984472078901</v>
          </cell>
        </row>
        <row r="21">
          <cell r="F21">
            <v>118.94539304097107</v>
          </cell>
        </row>
        <row r="22">
          <cell r="F22">
            <v>1.4511198643491492</v>
          </cell>
        </row>
        <row r="23">
          <cell r="F23">
            <v>1730.6186188587765</v>
          </cell>
        </row>
        <row r="24">
          <cell r="F24">
            <v>21.113344461970236</v>
          </cell>
        </row>
        <row r="25">
          <cell r="E25">
            <v>0</v>
          </cell>
          <cell r="F25">
            <v>689.7023879313724</v>
          </cell>
        </row>
        <row r="26">
          <cell r="F26">
            <v>8.41428835559453</v>
          </cell>
        </row>
        <row r="27">
          <cell r="I27">
            <v>0</v>
          </cell>
        </row>
        <row r="28">
          <cell r="F28">
            <v>0</v>
          </cell>
          <cell r="J28">
            <v>0</v>
          </cell>
        </row>
        <row r="50">
          <cell r="E50">
            <v>0</v>
          </cell>
        </row>
        <row r="51">
          <cell r="E51">
            <v>0.8</v>
          </cell>
        </row>
        <row r="54">
          <cell r="E54">
            <v>12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Wabagsheet"/>
      <sheetName val="Project Description"/>
      <sheetName val="Project Information"/>
      <sheetName val="Input FRC"/>
      <sheetName val="FRC"/>
      <sheetName val="Legal Risk Analysis"/>
      <sheetName val="Minimum Requirements"/>
      <sheetName val="VA TECH-Risk Analysis-O&amp;M"/>
      <sheetName val="Supplement to RA-O&amp;M"/>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ver"/>
      <sheetName val="Design Parameter"/>
      <sheetName val="Calculation"/>
      <sheetName val="Mass Balance"/>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Langue"/>
      <sheetName val="Sédipac"/>
      <sheetName val="Presentation"/>
      <sheetName val="Ligne Eau"/>
      <sheetName val="Ligne Boue"/>
      <sheetName val="Bilan masse sans DP"/>
      <sheetName val="Bilan masse avec DP "/>
      <sheetName val="Choix"/>
      <sheetName val="Récapitulatif"/>
      <sheetName val="dico"/>
      <sheetName val="Epaississement"/>
      <sheetName val="Stockage"/>
      <sheetName val="Relargage"/>
      <sheetName val="Digestion"/>
      <sheetName val="Déshydratation"/>
      <sheetName val="Séchage"/>
      <sheetName val="Bilan"/>
    </sheetNames>
    <sheetDataSet>
      <sheetData sheetId="9">
        <row r="1">
          <cell r="A1" t="str">
            <v> Langue</v>
          </cell>
        </row>
        <row r="2">
          <cell r="A2" t="str">
            <v> note calcul</v>
          </cell>
          <cell r="B2">
            <v>2</v>
          </cell>
        </row>
        <row r="3">
          <cell r="A3" t="str">
            <v> documents</v>
          </cell>
          <cell r="B3">
            <v>2</v>
          </cell>
        </row>
        <row r="4">
          <cell r="B4" t="str">
            <v> 1 : FRANCAIS</v>
          </cell>
          <cell r="C4" t="str">
            <v>2 : ANGLAIS</v>
          </cell>
          <cell r="D4" t="str">
            <v>3 : ESPAGNOL</v>
          </cell>
          <cell r="E4" t="str">
            <v>4 : ITALIEN</v>
          </cell>
          <cell r="F4" t="str">
            <v>5 : ALLEMAND</v>
          </cell>
        </row>
        <row r="5">
          <cell r="A5" t="str">
            <v>m0001</v>
          </cell>
          <cell r="B5" t="str">
            <v>Aller à …</v>
          </cell>
          <cell r="C5" t="str">
            <v>Go to …</v>
          </cell>
          <cell r="D5" t="str">
            <v>Ir hasta …</v>
          </cell>
        </row>
        <row r="6">
          <cell r="A6" t="str">
            <v>m0002</v>
          </cell>
          <cell r="B6" t="str">
            <v>DEFINITION DE LA LIGNE EAU</v>
          </cell>
          <cell r="C6" t="str">
            <v>WATER LINE DEFINITION</v>
          </cell>
          <cell r="D6" t="str">
            <v>DEFINICION DE LA LINEA AGUA</v>
          </cell>
        </row>
        <row r="7">
          <cell r="A7" t="str">
            <v>m0003</v>
          </cell>
          <cell r="B7" t="str">
            <v>ajouter colonnes …</v>
          </cell>
          <cell r="C7" t="str">
            <v>more columns …</v>
          </cell>
          <cell r="D7" t="str">
            <v>otras columnas …</v>
          </cell>
        </row>
        <row r="8">
          <cell r="A8" t="str">
            <v>m0004</v>
          </cell>
          <cell r="B8" t="str">
            <v>masquer colonne …</v>
          </cell>
          <cell r="C8" t="str">
            <v>hide column…</v>
          </cell>
        </row>
        <row r="9">
          <cell r="A9" t="str">
            <v>m0005</v>
          </cell>
          <cell r="B9" t="str">
            <v>copier valeurs colonne D</v>
          </cell>
          <cell r="C9" t="str">
            <v>copy datas column D</v>
          </cell>
          <cell r="D9" t="str">
            <v>copiar valores columna D</v>
          </cell>
        </row>
        <row r="10">
          <cell r="A10" t="str">
            <v>m0006</v>
          </cell>
          <cell r="B10" t="str">
            <v>Caractéristiques eau brute</v>
          </cell>
          <cell r="C10" t="str">
            <v>Raw water characteristics</v>
          </cell>
          <cell r="D10" t="str">
            <v>Características del agua bruta</v>
          </cell>
        </row>
        <row r="11">
          <cell r="A11" t="str">
            <v>m0007</v>
          </cell>
          <cell r="B11" t="str">
            <v>1. CARACTERISTIQUES EAU BRUTE </v>
          </cell>
          <cell r="C11" t="str">
            <v>1. RAW WATER CHARACTERISTICS</v>
          </cell>
          <cell r="D11" t="str">
            <v>1. CARACTERISTICAS DEL AGUA BRUTA</v>
          </cell>
        </row>
        <row r="12">
          <cell r="A12" t="str">
            <v>m0008</v>
          </cell>
          <cell r="B12" t="str">
            <v>Température de l'influent</v>
          </cell>
          <cell r="C12" t="str">
            <v>Influent temperature</v>
          </cell>
          <cell r="D12" t="str">
            <v>Temperatura del agua</v>
          </cell>
        </row>
        <row r="13">
          <cell r="A13" t="str">
            <v>m0009</v>
          </cell>
          <cell r="B13" t="str">
            <v>Débit journalier d'entrée</v>
          </cell>
          <cell r="C13" t="str">
            <v>Daily inlet flow</v>
          </cell>
          <cell r="D13" t="str">
            <v>Caudal diario de entrada</v>
          </cell>
        </row>
        <row r="14">
          <cell r="A14" t="str">
            <v>m0010</v>
          </cell>
          <cell r="B14" t="str">
            <v>Débit moyen sur 24 h</v>
          </cell>
          <cell r="C14" t="str">
            <v>Average flow on 24h</v>
          </cell>
          <cell r="D14" t="str">
            <v>Caudal medio en 24 h</v>
          </cell>
        </row>
        <row r="15">
          <cell r="A15" t="str">
            <v>m0011</v>
          </cell>
          <cell r="B15" t="str">
            <v>Débit</v>
          </cell>
          <cell r="C15" t="str">
            <v>Flow</v>
          </cell>
          <cell r="D15" t="str">
            <v>Caudal</v>
          </cell>
        </row>
        <row r="16">
          <cell r="A16" t="str">
            <v>m0012</v>
          </cell>
          <cell r="B16" t="str">
            <v>Débit de pointe temps sec retenu</v>
          </cell>
          <cell r="C16" t="str">
            <v>Chosen dry weather peak flow</v>
          </cell>
          <cell r="D16" t="str">
            <v>Caudal punta de tiempo seco</v>
          </cell>
        </row>
        <row r="17">
          <cell r="A17" t="str">
            <v>m0012b</v>
          </cell>
          <cell r="B17" t="str">
            <v>Débit de pointe temps sec théorique</v>
          </cell>
          <cell r="C17" t="str">
            <v>Theoretic dry weather peak flow</v>
          </cell>
          <cell r="D17" t="str">
            <v>Caudal punta de tiempo seco teórico</v>
          </cell>
        </row>
        <row r="18">
          <cell r="A18" t="str">
            <v>m0013</v>
          </cell>
          <cell r="B18" t="str">
            <v>Débit de pointe temps de pluie</v>
          </cell>
          <cell r="C18" t="str">
            <v>Rain weather peak flow</v>
          </cell>
          <cell r="D18" t="str">
            <v>Caudal punta de tiempo de lluvia</v>
          </cell>
        </row>
        <row r="19">
          <cell r="A19" t="str">
            <v>m0014</v>
          </cell>
          <cell r="B19" t="str">
            <v>Coeff de pointe hydraulique de temps sec</v>
          </cell>
          <cell r="C19" t="str">
            <v>Dry weather hydraulic peak coefficient</v>
          </cell>
          <cell r="D19" t="str">
            <v>Coef punta hidráulico de tiempo seco</v>
          </cell>
        </row>
        <row r="20">
          <cell r="A20" t="str">
            <v>m0015</v>
          </cell>
          <cell r="B20" t="str">
            <v>Coeff de pointe hydraulique de temps de pluie</v>
          </cell>
          <cell r="C20" t="str">
            <v>Rain weather hydraulic peak coefficient</v>
          </cell>
          <cell r="D20" t="str">
            <v>Coef punta hidráulico de tiempo de lluvia</v>
          </cell>
        </row>
        <row r="21">
          <cell r="A21" t="str">
            <v>m0016</v>
          </cell>
          <cell r="B21" t="str">
            <v>Coeff de pointe de concentration</v>
          </cell>
          <cell r="C21" t="str">
            <v>Concentration peak coefficient</v>
          </cell>
          <cell r="D21" t="str">
            <v>Coef punta de concentración</v>
          </cell>
        </row>
        <row r="22">
          <cell r="A22" t="str">
            <v>m0017</v>
          </cell>
          <cell r="B22" t="str">
            <v>Coeff de tampon hydraulique</v>
          </cell>
          <cell r="C22" t="str">
            <v>Coeff for hydraulic buffer</v>
          </cell>
          <cell r="D22" t="str">
            <v>Coef de tampón hídrolico</v>
          </cell>
        </row>
        <row r="23">
          <cell r="A23" t="str">
            <v>m0018</v>
          </cell>
          <cell r="B23" t="str">
            <v>dont Débit d'eau claire parasite</v>
          </cell>
          <cell r="C23" t="str">
            <v>of which Parasite clear water flow</v>
          </cell>
          <cell r="D23" t="str">
            <v>del cual Caudal de agua clara parasita</v>
          </cell>
        </row>
        <row r="24">
          <cell r="A24" t="str">
            <v>m0019</v>
          </cell>
        </row>
        <row r="25">
          <cell r="A25" t="str">
            <v>m0020</v>
          </cell>
          <cell r="B25" t="str">
            <v>Pollution</v>
          </cell>
          <cell r="C25" t="str">
            <v>Pollution</v>
          </cell>
          <cell r="D25" t="str">
            <v>Pollución</v>
          </cell>
        </row>
        <row r="26">
          <cell r="A26" t="str">
            <v>m0021</v>
          </cell>
          <cell r="B26" t="str">
            <v>Flux DBO5</v>
          </cell>
          <cell r="C26" t="str">
            <v>BOD5 flow</v>
          </cell>
          <cell r="D26" t="str">
            <v>Flujo DBO5</v>
          </cell>
        </row>
        <row r="27">
          <cell r="A27" t="str">
            <v>m0021b</v>
          </cell>
          <cell r="B27" t="str">
            <v>Concentration DBO5</v>
          </cell>
          <cell r="C27" t="str">
            <v>BOD5 concentration</v>
          </cell>
          <cell r="D27" t="str">
            <v>Concentración DBO5</v>
          </cell>
        </row>
        <row r="28">
          <cell r="A28" t="str">
            <v>m0022</v>
          </cell>
          <cell r="B28" t="str">
            <v>Flux DCO</v>
          </cell>
          <cell r="C28" t="str">
            <v>COD flow</v>
          </cell>
          <cell r="D28" t="str">
            <v>Flujo DQO</v>
          </cell>
        </row>
        <row r="29">
          <cell r="A29" t="str">
            <v>m0022b</v>
          </cell>
          <cell r="B29" t="str">
            <v>Concentration DCO</v>
          </cell>
          <cell r="C29" t="str">
            <v>COD concentration</v>
          </cell>
          <cell r="D29" t="str">
            <v>Concentración DQO</v>
          </cell>
        </row>
        <row r="30">
          <cell r="A30" t="str">
            <v>m0023</v>
          </cell>
          <cell r="B30" t="str">
            <v>Flux MES</v>
          </cell>
          <cell r="C30" t="str">
            <v>TSS flow</v>
          </cell>
          <cell r="D30" t="str">
            <v>Flujo SST</v>
          </cell>
        </row>
        <row r="31">
          <cell r="A31" t="str">
            <v>m0023b</v>
          </cell>
          <cell r="B31" t="str">
            <v>Concentration MES</v>
          </cell>
          <cell r="C31" t="str">
            <v>TSS concentration</v>
          </cell>
          <cell r="D31" t="str">
            <v>Concentración SST</v>
          </cell>
        </row>
        <row r="32">
          <cell r="A32" t="str">
            <v>m0024</v>
          </cell>
          <cell r="B32" t="str">
            <v>Flux Azote NTK</v>
          </cell>
          <cell r="C32" t="str">
            <v>TKN flow</v>
          </cell>
          <cell r="D32" t="str">
            <v>Flujo NTK</v>
          </cell>
        </row>
        <row r="33">
          <cell r="A33" t="str">
            <v>m0024b</v>
          </cell>
          <cell r="B33" t="str">
            <v>Concentration NTK</v>
          </cell>
          <cell r="C33" t="str">
            <v>TKN concentration</v>
          </cell>
          <cell r="D33" t="str">
            <v>Concentración NTK</v>
          </cell>
        </row>
        <row r="34">
          <cell r="A34" t="str">
            <v>m0024c</v>
          </cell>
          <cell r="B34" t="str">
            <v>Flux de N-NO3 </v>
          </cell>
          <cell r="C34" t="str">
            <v>NO3-N flow</v>
          </cell>
          <cell r="D34" t="str">
            <v>Flujo N-NO3</v>
          </cell>
        </row>
        <row r="35">
          <cell r="A35" t="str">
            <v>m0024d</v>
          </cell>
          <cell r="B35" t="str">
            <v>Concentration N-NO3</v>
          </cell>
          <cell r="C35" t="str">
            <v>NO3-N concentration</v>
          </cell>
          <cell r="D35" t="str">
            <v>Concentración N-NO3</v>
          </cell>
        </row>
        <row r="36">
          <cell r="A36" t="str">
            <v>m0025</v>
          </cell>
          <cell r="B36" t="str">
            <v>Flux Phosphore</v>
          </cell>
          <cell r="C36" t="str">
            <v>Pt flow</v>
          </cell>
          <cell r="D36" t="str">
            <v>Flujo Pt</v>
          </cell>
        </row>
        <row r="37">
          <cell r="A37" t="str">
            <v>m0025b</v>
          </cell>
          <cell r="B37" t="str">
            <v>Concentration Pt</v>
          </cell>
          <cell r="C37" t="str">
            <v>Pt concentration</v>
          </cell>
          <cell r="D37" t="str">
            <v>Concentración Pt</v>
          </cell>
        </row>
        <row r="38">
          <cell r="A38" t="str">
            <v>m0026</v>
          </cell>
          <cell r="B38" t="str">
            <v>Flux MVS</v>
          </cell>
          <cell r="C38" t="str">
            <v>TVS flow</v>
          </cell>
          <cell r="D38" t="str">
            <v>Flujo SSV</v>
          </cell>
        </row>
        <row r="39">
          <cell r="A39" t="str">
            <v>m0026b</v>
          </cell>
          <cell r="B39" t="str">
            <v>Concentration MVS</v>
          </cell>
          <cell r="C39" t="str">
            <v>TVS concentration</v>
          </cell>
          <cell r="D39" t="str">
            <v>Concentración SSV</v>
          </cell>
        </row>
        <row r="40">
          <cell r="A40" t="str">
            <v>m0027</v>
          </cell>
          <cell r="B40" t="str">
            <v>Rapport DCO / DBO</v>
          </cell>
          <cell r="C40" t="str">
            <v>Ratio COD / BOD</v>
          </cell>
          <cell r="D40" t="str">
            <v>Relación DQO / DBO</v>
          </cell>
        </row>
        <row r="41">
          <cell r="A41" t="str">
            <v>m0028</v>
          </cell>
          <cell r="B41" t="str">
            <v>Rapport MES / DBO</v>
          </cell>
          <cell r="C41" t="str">
            <v>Ratio TSS / BOD</v>
          </cell>
          <cell r="D41" t="str">
            <v>Relación SST / DBO</v>
          </cell>
        </row>
        <row r="42">
          <cell r="A42" t="str">
            <v>m0028a</v>
          </cell>
          <cell r="B42" t="str">
            <v>Rapport DCO / MES</v>
          </cell>
          <cell r="C42" t="str">
            <v>Ratio COD / TSS</v>
          </cell>
          <cell r="D42" t="str">
            <v>Relación DQO / SST</v>
          </cell>
        </row>
        <row r="43">
          <cell r="A43" t="str">
            <v>m0028b</v>
          </cell>
          <cell r="B43" t="str">
            <v>Rapport DBO / NTK</v>
          </cell>
          <cell r="C43" t="str">
            <v>Ratio BOD / TKN</v>
          </cell>
          <cell r="D43" t="str">
            <v>Relación DBO / NTK</v>
          </cell>
        </row>
        <row r="44">
          <cell r="A44" t="str">
            <v>m0028c</v>
          </cell>
          <cell r="B44" t="str">
            <v>Rapport DBO / Pt</v>
          </cell>
          <cell r="C44" t="str">
            <v>Ratio BOD / Pt</v>
          </cell>
          <cell r="D44" t="str">
            <v>Relación DBO / Pt</v>
          </cell>
        </row>
        <row r="45">
          <cell r="A45" t="str">
            <v>m0029</v>
          </cell>
          <cell r="B45" t="str">
            <v>Pourcentage de MVS théorique</v>
          </cell>
          <cell r="C45" t="str">
            <v>Theoretic VSS percentage</v>
          </cell>
          <cell r="D45" t="str">
            <v>Porcentaje de SSV teorico</v>
          </cell>
        </row>
        <row r="46">
          <cell r="A46" t="str">
            <v>m0029b</v>
          </cell>
          <cell r="B46" t="str">
            <v>Pourcentage de MVS retenu</v>
          </cell>
          <cell r="C46" t="str">
            <v>Chosen VSS percentage</v>
          </cell>
          <cell r="D46" t="str">
            <v>Porcentaje de SSV elejido</v>
          </cell>
        </row>
        <row r="47">
          <cell r="A47" t="str">
            <v>m0030</v>
          </cell>
          <cell r="B47" t="str">
            <v>Typo par défaut</v>
          </cell>
          <cell r="C47" t="str">
            <v>Tipology by default</v>
          </cell>
          <cell r="D47" t="str">
            <v>Tipología por defecto</v>
          </cell>
        </row>
        <row r="48">
          <cell r="A48" t="str">
            <v>m0030b</v>
          </cell>
          <cell r="B48" t="str">
            <v>inadaptée !!</v>
          </cell>
          <cell r="C48" t="str">
            <v>not applicable !!</v>
          </cell>
          <cell r="D48" t="str">
            <v>no aplicable !!</v>
          </cell>
        </row>
        <row r="49">
          <cell r="A49" t="str">
            <v>m0031</v>
          </cell>
          <cell r="B49" t="str">
            <v>Autres données</v>
          </cell>
          <cell r="C49" t="str">
            <v>Other data</v>
          </cell>
          <cell r="D49" t="str">
            <v>Otros datos</v>
          </cell>
        </row>
        <row r="50">
          <cell r="A50" t="str">
            <v>m0032</v>
          </cell>
        </row>
        <row r="51">
          <cell r="A51" t="str">
            <v>m0033</v>
          </cell>
          <cell r="B51" t="str">
            <v>Nombre d'équivalent habitant</v>
          </cell>
          <cell r="C51" t="str">
            <v>Number of population equivalent</v>
          </cell>
          <cell r="D51" t="str">
            <v>Número de habitantes equivalentes</v>
          </cell>
        </row>
        <row r="52">
          <cell r="A52" t="str">
            <v>m0034</v>
          </cell>
          <cell r="B52" t="str">
            <v>Dotation journalière en débit</v>
          </cell>
          <cell r="C52" t="str">
            <v>Flow daily ratio</v>
          </cell>
          <cell r="D52" t="str">
            <v>Dotación diaria en flujo</v>
          </cell>
        </row>
        <row r="53">
          <cell r="A53" t="str">
            <v>m0035</v>
          </cell>
          <cell r="B53" t="str">
            <v>Dotation journalière en DBO5</v>
          </cell>
          <cell r="C53" t="str">
            <v>BOD5 daily ratio</v>
          </cell>
          <cell r="D53" t="str">
            <v>Dotación diaria en DBO</v>
          </cell>
        </row>
        <row r="54">
          <cell r="A54" t="str">
            <v>m0036</v>
          </cell>
          <cell r="B54" t="str">
            <v>Dotation journalière en MES</v>
          </cell>
          <cell r="C54" t="str">
            <v>COD daily ratio</v>
          </cell>
          <cell r="D54" t="str">
            <v>Dotación diaria en SST</v>
          </cell>
        </row>
        <row r="55">
          <cell r="A55" t="str">
            <v>m0037</v>
          </cell>
          <cell r="B55" t="str">
            <v>Dotation journalière en NTK</v>
          </cell>
          <cell r="C55" t="str">
            <v>TKN daily ratio</v>
          </cell>
          <cell r="D55" t="str">
            <v>Dotación diaria en NTK</v>
          </cell>
        </row>
        <row r="56">
          <cell r="A56" t="str">
            <v>m0038</v>
          </cell>
          <cell r="B56" t="str">
            <v>Dotation journalière en PT</v>
          </cell>
          <cell r="C56" t="str">
            <v>Pt daily ratio</v>
          </cell>
          <cell r="D56" t="str">
            <v>Dotación diaria en Pt</v>
          </cell>
        </row>
        <row r="57">
          <cell r="A57" t="str">
            <v>m0039</v>
          </cell>
          <cell r="B57" t="str">
            <v>Apport de TAC par équivalent-habitant (g CaCO3/eh/j)</v>
          </cell>
          <cell r="C57" t="str">
            <v>Alkalinity increase per population equivalent (mg CaCO3/pe/d)</v>
          </cell>
          <cell r="D57" t="str">
            <v>Aumento del TAC por habitantes equivalentes (g CaCO3/eh/j)</v>
          </cell>
        </row>
        <row r="58">
          <cell r="A58" t="str">
            <v>m0040</v>
          </cell>
          <cell r="B58" t="str">
            <v>TAC de l'eau naturelle dans le milieu (mg CaCO3/l)</v>
          </cell>
          <cell r="C58" t="str">
            <v>Natural water alkalinity</v>
          </cell>
          <cell r="D58" t="str">
            <v>TAC del agua natural (mg CaCO3/l)</v>
          </cell>
        </row>
        <row r="59">
          <cell r="A59" t="str">
            <v>m0040b</v>
          </cell>
          <cell r="B59" t="str">
            <v>Augmentation du TAC due à l'apport de pollution (mg CaCO3/l)</v>
          </cell>
          <cell r="C59" t="str">
            <v>Alkalinity increase due to the pollution</v>
          </cell>
          <cell r="D59" t="str">
            <v>Aumento del TAC con la polución (mg CaCO3/l)</v>
          </cell>
        </row>
        <row r="60">
          <cell r="A60" t="str">
            <v>m0040c</v>
          </cell>
          <cell r="B60" t="str">
            <v>TAC de l'eau brute à l'entrée de la station (mg CaCO3/l)</v>
          </cell>
          <cell r="C60" t="str">
            <v>Raw water alkalinity at the inlet of the station</v>
          </cell>
          <cell r="D60" t="str">
            <v>TAC del agua bruta en la entrada de la estación (mg CaCO3/l)</v>
          </cell>
        </row>
        <row r="61">
          <cell r="A61" t="str">
            <v>m0041</v>
          </cell>
          <cell r="B61" t="str">
            <v>2. REJETS AUTORISES</v>
          </cell>
          <cell r="C61" t="str">
            <v>2. ALLOWED DISCHARGE</v>
          </cell>
          <cell r="D61" t="str">
            <v>2. CONDICIONES PARA EL AGUA TRATADA</v>
          </cell>
        </row>
        <row r="62">
          <cell r="A62" t="str">
            <v>m0042</v>
          </cell>
          <cell r="B62" t="str">
            <v>DBO5 autorisé sur 24 h</v>
          </cell>
          <cell r="C62" t="str">
            <v>allowed BOD5 on 24 h</v>
          </cell>
          <cell r="D62" t="str">
            <v>DBO autorizada en 24 h</v>
          </cell>
        </row>
        <row r="63">
          <cell r="A63" t="str">
            <v>m0043</v>
          </cell>
          <cell r="B63" t="str">
            <v>DCO autorisé sur 24 h</v>
          </cell>
          <cell r="C63" t="str">
            <v>allowed COD on 24 h</v>
          </cell>
          <cell r="D63" t="str">
            <v>DQO autorizada en 24 h</v>
          </cell>
        </row>
        <row r="64">
          <cell r="A64" t="str">
            <v>m0044</v>
          </cell>
          <cell r="B64" t="str">
            <v>MES autorisé sur 24 h</v>
          </cell>
          <cell r="C64" t="str">
            <v>allowed TSS on 24 h</v>
          </cell>
          <cell r="D64" t="str">
            <v>SST autorizada en 24 h</v>
          </cell>
        </row>
        <row r="65">
          <cell r="A65" t="str">
            <v>m0045</v>
          </cell>
          <cell r="B65" t="str">
            <v>NGL autorisé sur 24 h</v>
          </cell>
          <cell r="C65" t="str">
            <v>allowed Nt on 24 h</v>
          </cell>
          <cell r="D65" t="str">
            <v>Nt autorizada en 24 h</v>
          </cell>
        </row>
        <row r="66">
          <cell r="A66" t="str">
            <v>m0046</v>
          </cell>
          <cell r="B66" t="str">
            <v>Pt autorisé sur 24 h</v>
          </cell>
          <cell r="C66" t="str">
            <v>allowed Pt on 24 h</v>
          </cell>
          <cell r="D66" t="str">
            <v>Pt autorizada en 24 h</v>
          </cell>
        </row>
        <row r="67">
          <cell r="A67" t="str">
            <v>m0047</v>
          </cell>
        </row>
        <row r="68">
          <cell r="A68" t="str">
            <v>m0050</v>
          </cell>
          <cell r="B68" t="str">
            <v>Retours de boues en tête du décanteur primaire</v>
          </cell>
          <cell r="C68" t="str">
            <v>Sludge returns at primary settlink tank inlet</v>
          </cell>
          <cell r="D68" t="str">
            <v>Retornos de fango en la entrada del primer decantación</v>
          </cell>
        </row>
        <row r="69">
          <cell r="A69" t="str">
            <v>m0051</v>
          </cell>
          <cell r="B69" t="str">
            <v>dont DBO soluble</v>
          </cell>
          <cell r="C69" t="str">
            <v>with soluble BOD</v>
          </cell>
          <cell r="D69" t="str">
            <v>con DBO soluble</v>
          </cell>
        </row>
        <row r="70">
          <cell r="A70" t="str">
            <v>m0052</v>
          </cell>
        </row>
        <row r="71">
          <cell r="A71" t="str">
            <v>m0053</v>
          </cell>
          <cell r="B71" t="str">
            <v>dont DCO soluble</v>
          </cell>
          <cell r="C71" t="str">
            <v>with soluble COD</v>
          </cell>
          <cell r="D71" t="str">
            <v>con DQO soluble</v>
          </cell>
        </row>
        <row r="72">
          <cell r="A72" t="str">
            <v>m0054</v>
          </cell>
        </row>
        <row r="73">
          <cell r="A73" t="str">
            <v>m0055</v>
          </cell>
          <cell r="B73" t="str">
            <v>Flux de MES </v>
          </cell>
          <cell r="C73" t="str">
            <v>TSS flow</v>
          </cell>
          <cell r="D73" t="str">
            <v>Flujo de SST</v>
          </cell>
        </row>
        <row r="74">
          <cell r="A74" t="str">
            <v>m0055b</v>
          </cell>
          <cell r="B74" t="str">
            <v>Flux de MVS</v>
          </cell>
          <cell r="C74" t="str">
            <v>VSS flow</v>
          </cell>
          <cell r="D74" t="str">
            <v>Flujo de SSV</v>
          </cell>
        </row>
        <row r="75">
          <cell r="A75" t="str">
            <v>m0056</v>
          </cell>
          <cell r="B75" t="str">
            <v>dont N-NH4</v>
          </cell>
          <cell r="C75" t="str">
            <v>NH4-N flow</v>
          </cell>
          <cell r="D75" t="str">
            <v>con N-NH4</v>
          </cell>
        </row>
        <row r="76">
          <cell r="A76" t="str">
            <v>m0057</v>
          </cell>
        </row>
        <row r="77">
          <cell r="A77" t="str">
            <v>m0058</v>
          </cell>
          <cell r="B77" t="str">
            <v>dont P soluble (P-PO4)</v>
          </cell>
          <cell r="C77" t="str">
            <v>with soluble P (PO4-P)</v>
          </cell>
          <cell r="D77" t="str">
            <v>con P soluble (P-PO4)</v>
          </cell>
        </row>
        <row r="78">
          <cell r="A78" t="str">
            <v>m0059</v>
          </cell>
        </row>
        <row r="79">
          <cell r="A79" t="str">
            <v>m0060</v>
          </cell>
          <cell r="B79" t="str">
            <v>Débit retour</v>
          </cell>
          <cell r="C79" t="str">
            <v>Return flow</v>
          </cell>
          <cell r="D79" t="str">
            <v>Flujo retorno</v>
          </cell>
        </row>
        <row r="80">
          <cell r="A80" t="str">
            <v>m0061</v>
          </cell>
          <cell r="B80" t="str">
            <v>Concentration DBO5 avec retour</v>
          </cell>
          <cell r="C80" t="str">
            <v>BOD5 concentration with returns</v>
          </cell>
          <cell r="D80" t="str">
            <v>Concentración DBO con retornos</v>
          </cell>
        </row>
        <row r="81">
          <cell r="A81" t="str">
            <v>m0062</v>
          </cell>
          <cell r="B81" t="str">
            <v>Concentration DCO avec retour</v>
          </cell>
          <cell r="C81" t="str">
            <v>COD concentration with returns</v>
          </cell>
          <cell r="D81" t="str">
            <v>Concentración DQO con retornos</v>
          </cell>
        </row>
        <row r="82">
          <cell r="A82" t="str">
            <v>m0063</v>
          </cell>
          <cell r="B82" t="str">
            <v>Concentration MES avec retour</v>
          </cell>
          <cell r="C82" t="str">
            <v>TSS concentration with returns</v>
          </cell>
          <cell r="D82" t="str">
            <v>Concentración SST con retornos</v>
          </cell>
        </row>
        <row r="83">
          <cell r="A83" t="str">
            <v>m0063b</v>
          </cell>
          <cell r="B83" t="str">
            <v>Concentration MVS avec retour</v>
          </cell>
          <cell r="C83" t="str">
            <v>VSS concentration with returns</v>
          </cell>
          <cell r="D83" t="str">
            <v>Concentración SSV con retornos</v>
          </cell>
        </row>
        <row r="84">
          <cell r="A84" t="str">
            <v>m0064</v>
          </cell>
          <cell r="B84" t="str">
            <v>Concentration NTK avec retour</v>
          </cell>
          <cell r="C84" t="str">
            <v>TKN concentration with returns</v>
          </cell>
          <cell r="D84" t="str">
            <v>Concentración NTK con retornos</v>
          </cell>
        </row>
        <row r="85">
          <cell r="A85" t="str">
            <v>m0065</v>
          </cell>
          <cell r="B85" t="str">
            <v>Concentration P avec retour</v>
          </cell>
          <cell r="C85" t="str">
            <v>P concentration with returns</v>
          </cell>
          <cell r="D85" t="str">
            <v>Concentración P con retornos</v>
          </cell>
        </row>
        <row r="86">
          <cell r="A86" t="str">
            <v>m0066</v>
          </cell>
        </row>
        <row r="87">
          <cell r="A87" t="str">
            <v>m0067</v>
          </cell>
        </row>
        <row r="88">
          <cell r="A88" t="str">
            <v>m0069</v>
          </cell>
          <cell r="B88" t="str">
            <v>Typologie de l'eau brute</v>
          </cell>
          <cell r="C88" t="str">
            <v>Raw water tipology</v>
          </cell>
          <cell r="D88" t="str">
            <v>Tipología del agua bruta</v>
          </cell>
        </row>
        <row r="89">
          <cell r="A89" t="str">
            <v>m0070</v>
          </cell>
          <cell r="B89" t="str">
            <v>Fractionnement de la DBO totale de l'eau brute</v>
          </cell>
          <cell r="C89" t="str">
            <v>Raw water total BOD splitting up</v>
          </cell>
          <cell r="D89" t="str">
            <v>Fraccionamiento de la DBO total del agua bruta</v>
          </cell>
        </row>
        <row r="90">
          <cell r="A90" t="str">
            <v>m0071</v>
          </cell>
          <cell r="B90" t="str">
            <v>DBO soluble</v>
          </cell>
          <cell r="C90" t="str">
            <v>soluble BOD</v>
          </cell>
          <cell r="D90" t="str">
            <v>DBO soluble</v>
          </cell>
        </row>
        <row r="91">
          <cell r="A91" t="str">
            <v>m0072</v>
          </cell>
          <cell r="B91" t="str">
            <v>DBO décantable</v>
          </cell>
          <cell r="C91" t="str">
            <v>settleable BOD</v>
          </cell>
          <cell r="D91" t="str">
            <v>DBO decantable</v>
          </cell>
        </row>
        <row r="92">
          <cell r="A92" t="str">
            <v>m0073</v>
          </cell>
          <cell r="B92" t="str">
            <v>DBO coagulable</v>
          </cell>
          <cell r="C92" t="str">
            <v>coagulable BOD</v>
          </cell>
          <cell r="D92" t="str">
            <v>DBO coagulable</v>
          </cell>
        </row>
        <row r="93">
          <cell r="A93" t="str">
            <v>m0074</v>
          </cell>
          <cell r="B93" t="str">
            <v>Fractionnement du P total de l'eau brute</v>
          </cell>
          <cell r="C93" t="str">
            <v>Raw water total P splitting up</v>
          </cell>
          <cell r="D93" t="str">
            <v>Fraccionamiento del P total del agua bruta</v>
          </cell>
        </row>
        <row r="94">
          <cell r="A94" t="str">
            <v>m0075</v>
          </cell>
          <cell r="B94" t="str">
            <v>P soluble (P-PO4)</v>
          </cell>
          <cell r="C94" t="str">
            <v>soluble P (P-PO4)</v>
          </cell>
          <cell r="D94" t="str">
            <v>P soluble (P-PO4)</v>
          </cell>
        </row>
        <row r="95">
          <cell r="A95" t="str">
            <v>m0076</v>
          </cell>
          <cell r="B95" t="str">
            <v>P décantable</v>
          </cell>
          <cell r="C95" t="str">
            <v>settleable P</v>
          </cell>
          <cell r="D95" t="str">
            <v>P decantable</v>
          </cell>
        </row>
        <row r="96">
          <cell r="A96" t="str">
            <v>m0077</v>
          </cell>
          <cell r="B96" t="str">
            <v>P coagulable</v>
          </cell>
          <cell r="C96" t="str">
            <v>coagulable P</v>
          </cell>
          <cell r="D96" t="str">
            <v>P coagulable</v>
          </cell>
        </row>
        <row r="97">
          <cell r="A97" t="str">
            <v>m0078</v>
          </cell>
          <cell r="B97" t="str">
            <v>Fractionnement de la DCO totale de l'eau brute</v>
          </cell>
          <cell r="C97" t="str">
            <v>Raw water total COD splitting up</v>
          </cell>
          <cell r="D97" t="str">
            <v>Fraccionamiento del DQO total del agua bruta</v>
          </cell>
        </row>
        <row r="98">
          <cell r="A98" t="str">
            <v>m0079</v>
          </cell>
          <cell r="B98" t="str">
            <v>DCO soluble</v>
          </cell>
          <cell r="C98" t="str">
            <v>soluble COD</v>
          </cell>
          <cell r="D98" t="str">
            <v>DQO soluble</v>
          </cell>
        </row>
        <row r="99">
          <cell r="A99" t="str">
            <v>m0080</v>
          </cell>
          <cell r="B99" t="str">
            <v>DCO décantable</v>
          </cell>
          <cell r="C99" t="str">
            <v>settleable COD</v>
          </cell>
          <cell r="D99" t="str">
            <v>DQO decantable</v>
          </cell>
        </row>
        <row r="100">
          <cell r="A100" t="str">
            <v>m0081</v>
          </cell>
          <cell r="B100" t="str">
            <v>DCO coagulable</v>
          </cell>
          <cell r="C100" t="str">
            <v>coagulable COD</v>
          </cell>
          <cell r="D100" t="str">
            <v>DQO coagulable</v>
          </cell>
        </row>
        <row r="101">
          <cell r="A101" t="str">
            <v>m0082</v>
          </cell>
          <cell r="B101" t="str">
            <v>Fractionnement du N total de l'eau brute</v>
          </cell>
          <cell r="C101" t="str">
            <v>Raw water total N splitting up</v>
          </cell>
          <cell r="D101" t="str">
            <v>Fraccionamiento del N total del agua bruta</v>
          </cell>
        </row>
        <row r="102">
          <cell r="A102" t="str">
            <v>m0083</v>
          </cell>
          <cell r="B102" t="str">
            <v>N soluble</v>
          </cell>
          <cell r="C102" t="str">
            <v>soluble N</v>
          </cell>
          <cell r="D102" t="str">
            <v>N soluble</v>
          </cell>
        </row>
        <row r="103">
          <cell r="A103" t="str">
            <v>m0084</v>
          </cell>
          <cell r="B103" t="str">
            <v>N décantable</v>
          </cell>
          <cell r="C103" t="str">
            <v>settleable N</v>
          </cell>
          <cell r="D103" t="str">
            <v>N decantable</v>
          </cell>
        </row>
        <row r="104">
          <cell r="A104" t="str">
            <v>m0085</v>
          </cell>
          <cell r="B104" t="str">
            <v>N coagulable</v>
          </cell>
          <cell r="C104" t="str">
            <v>coagulable N</v>
          </cell>
          <cell r="D104" t="str">
            <v>N coagulable</v>
          </cell>
        </row>
        <row r="105">
          <cell r="A105" t="str">
            <v>m0086</v>
          </cell>
          <cell r="B105" t="str">
            <v>Fractionnement des MES total de l'eau brute</v>
          </cell>
          <cell r="C105" t="str">
            <v>Raw water total TSS splitting up</v>
          </cell>
          <cell r="D105" t="str">
            <v>Fraccionamiento de los SST total del agua bruta</v>
          </cell>
        </row>
        <row r="106">
          <cell r="A106" t="str">
            <v>m0086b</v>
          </cell>
          <cell r="B106" t="str">
            <v>MES décantable proposé</v>
          </cell>
          <cell r="C106" t="str">
            <v>settleable TSS proposed</v>
          </cell>
          <cell r="D106" t="str">
            <v>SST decantable propuesto</v>
          </cell>
        </row>
        <row r="107">
          <cell r="A107" t="str">
            <v>m0087</v>
          </cell>
          <cell r="B107" t="str">
            <v>MES décantable retenu</v>
          </cell>
          <cell r="C107" t="str">
            <v>settleable TSS chosen</v>
          </cell>
          <cell r="D107" t="str">
            <v>SST decantable elejido</v>
          </cell>
        </row>
        <row r="108">
          <cell r="A108" t="str">
            <v>m0088</v>
          </cell>
          <cell r="B108" t="str">
            <v>MES soluble</v>
          </cell>
          <cell r="C108" t="str">
            <v>soluble TSS</v>
          </cell>
          <cell r="D108" t="str">
            <v>SST soluble</v>
          </cell>
        </row>
        <row r="109">
          <cell r="A109" t="str">
            <v>m0089</v>
          </cell>
          <cell r="B109" t="str">
            <v>MES coagulable</v>
          </cell>
          <cell r="C109" t="str">
            <v>coagulable TSS</v>
          </cell>
          <cell r="D109" t="str">
            <v>SST coagulable</v>
          </cell>
        </row>
        <row r="110">
          <cell r="A110" t="str">
            <v>m0090</v>
          </cell>
          <cell r="B110" t="str">
            <v>Fractionnement des MVS total de l'eau brute</v>
          </cell>
          <cell r="C110" t="str">
            <v>Raw water total VSS splitting up</v>
          </cell>
          <cell r="D110" t="str">
            <v>Fraccionamiento de los SSV total del agua bruta</v>
          </cell>
        </row>
        <row r="111">
          <cell r="A111" t="str">
            <v>m0091</v>
          </cell>
          <cell r="B111" t="str">
            <v>MVS décantable</v>
          </cell>
          <cell r="C111" t="str">
            <v>settleable VSS chosen</v>
          </cell>
          <cell r="D111" t="str">
            <v>SSV decantable</v>
          </cell>
        </row>
        <row r="112">
          <cell r="A112" t="str">
            <v>m0092</v>
          </cell>
          <cell r="B112" t="str">
            <v>MVS coagulable</v>
          </cell>
          <cell r="C112" t="str">
            <v>coagulable VSS</v>
          </cell>
          <cell r="D112" t="str">
            <v>SSV coagulable</v>
          </cell>
        </row>
        <row r="113">
          <cell r="A113" t="str">
            <v>m0093</v>
          </cell>
          <cell r="B113" t="str">
            <v>MVS soluble</v>
          </cell>
          <cell r="C113" t="str">
            <v>soluble VSS</v>
          </cell>
          <cell r="D113" t="str">
            <v>SSV soluble</v>
          </cell>
        </row>
        <row r="114">
          <cell r="A114" t="str">
            <v>m0100</v>
          </cell>
          <cell r="B114" t="str">
            <v>3. DECANTATION PRIMAIRE</v>
          </cell>
          <cell r="C114" t="str">
            <v>3. PRIMARY SETTLING</v>
          </cell>
          <cell r="D114" t="str">
            <v>3. PRIMER DECANTACION</v>
          </cell>
        </row>
        <row r="115">
          <cell r="A115" t="str">
            <v>m0100b</v>
          </cell>
          <cell r="B115" t="str">
            <v>Décantation primaire</v>
          </cell>
          <cell r="C115" t="str">
            <v>Primary settling</v>
          </cell>
          <cell r="D115" t="str">
            <v>Primer decantación</v>
          </cell>
        </row>
        <row r="116">
          <cell r="A116" t="str">
            <v>m0101</v>
          </cell>
          <cell r="B116" t="str">
            <v>Y-a-t-il une décantation primaire ?</v>
          </cell>
          <cell r="C116" t="str">
            <v>Is there any primary settling ?</v>
          </cell>
          <cell r="D116" t="str">
            <v>¿Hay una primer decantación ?</v>
          </cell>
        </row>
        <row r="117">
          <cell r="A117" t="str">
            <v>m0102</v>
          </cell>
          <cell r="B117" t="str">
            <v>Présence d'un décanteur primaire </v>
          </cell>
          <cell r="C117" t="str">
            <v>Primary settling tank</v>
          </cell>
          <cell r="D117" t="str">
            <v>Primer decantación</v>
          </cell>
        </row>
        <row r="118">
          <cell r="A118" t="str">
            <v>m0103</v>
          </cell>
          <cell r="B118" t="str">
            <v>Type de décanteur primaire ?</v>
          </cell>
          <cell r="C118" t="str">
            <v>Kind of primary settling ?</v>
          </cell>
          <cell r="D118" t="str">
            <v>¿Tipo de primer decantador ?</v>
          </cell>
        </row>
        <row r="119">
          <cell r="A119" t="str">
            <v>m0103a</v>
          </cell>
          <cell r="B119" t="str">
            <v>Conventionnel</v>
          </cell>
          <cell r="C119" t="str">
            <v>Conventional</v>
          </cell>
          <cell r="D119" t="str">
            <v>Convencional</v>
          </cell>
        </row>
        <row r="120">
          <cell r="A120" t="str">
            <v>m0103b</v>
          </cell>
          <cell r="B120" t="str">
            <v>Sédipac</v>
          </cell>
          <cell r="C120" t="str">
            <v>Sédipac</v>
          </cell>
          <cell r="D120" t="str">
            <v>Sedipac</v>
          </cell>
        </row>
        <row r="121">
          <cell r="A121" t="str">
            <v>m0103c</v>
          </cell>
          <cell r="B121" t="str">
            <v>Densadeg</v>
          </cell>
          <cell r="C121" t="str">
            <v>Densadeg</v>
          </cell>
          <cell r="D121" t="str">
            <v>Densadeg</v>
          </cell>
        </row>
        <row r="122">
          <cell r="A122" t="str">
            <v>m0103d</v>
          </cell>
          <cell r="B122" t="str">
            <v>sans réactif</v>
          </cell>
          <cell r="C122" t="str">
            <v>without reagent</v>
          </cell>
          <cell r="D122" t="str">
            <v>con reactivo</v>
          </cell>
        </row>
        <row r="123">
          <cell r="A123" t="str">
            <v>m0103e</v>
          </cell>
          <cell r="B123" t="str">
            <v>avec réactif</v>
          </cell>
          <cell r="C123" t="str">
            <v>with reagent</v>
          </cell>
          <cell r="D123" t="str">
            <v>sin reactivo</v>
          </cell>
        </row>
        <row r="124">
          <cell r="A124" t="str">
            <v>m0104</v>
          </cell>
          <cell r="B124" t="str">
            <v>Pourcentage admis sur le primaire</v>
          </cell>
          <cell r="C124" t="str">
            <v>Flow percentage at the inlet of the primary</v>
          </cell>
          <cell r="D124" t="str">
            <v>Porcentaje admitido en el primer</v>
          </cell>
        </row>
        <row r="125">
          <cell r="A125" t="str">
            <v>m0105</v>
          </cell>
          <cell r="B125" t="str">
            <v>Débit à traiter</v>
          </cell>
          <cell r="C125" t="str">
            <v>Flow to be treated</v>
          </cell>
          <cell r="D125" t="str">
            <v>Cuadal a tratar</v>
          </cell>
        </row>
        <row r="126">
          <cell r="A126" t="str">
            <v>m0106</v>
          </cell>
          <cell r="B126" t="str">
            <v>Dimensionnement du Sédipac</v>
          </cell>
          <cell r="C126" t="str">
            <v>Sedipac design</v>
          </cell>
          <cell r="D126" t="str">
            <v>Diseño del Sedipac</v>
          </cell>
        </row>
        <row r="127">
          <cell r="A127" t="str">
            <v>m0107</v>
          </cell>
          <cell r="B127" t="str">
            <v>Dimensionnement par rapport au débit de pointe de temps de pluie</v>
          </cell>
          <cell r="C127" t="str">
            <v>Design based on rain water peak flow</v>
          </cell>
          <cell r="D127" t="str">
            <v>Calculo con el flujo de pico de lluvia</v>
          </cell>
        </row>
        <row r="128">
          <cell r="A128" t="str">
            <v>m0108</v>
          </cell>
          <cell r="B128" t="str">
            <v>Débit maximal nominal du Sédipac standard</v>
          </cell>
          <cell r="C128" t="str">
            <v>Maximum nominal flow of the standard Sédipac</v>
          </cell>
          <cell r="D128" t="str">
            <v>Flujo maximal nominal del Sedipac estandar</v>
          </cell>
        </row>
        <row r="129">
          <cell r="A129" t="str">
            <v>m0108b</v>
          </cell>
          <cell r="B129" t="str">
            <v>Sédipac non standard !</v>
          </cell>
          <cell r="C129" t="str">
            <v>Not standard Sédipac !</v>
          </cell>
          <cell r="D129" t="str">
            <v>Sedipac no estandar !</v>
          </cell>
        </row>
        <row r="130">
          <cell r="A130" t="str">
            <v>m0109</v>
          </cell>
          <cell r="B130" t="str">
            <v>Surface de décantation standard correspondante</v>
          </cell>
          <cell r="C130" t="str">
            <v>Standard Sedipac decantation area</v>
          </cell>
          <cell r="D130" t="str">
            <v>Area de decantación estandar del Sedipac</v>
          </cell>
        </row>
        <row r="131">
          <cell r="A131" t="str">
            <v>m0110</v>
          </cell>
          <cell r="B131" t="str">
            <v>Surface lamellaire du Sédipac</v>
          </cell>
          <cell r="C131" t="str">
            <v>Sédipac lamellar area</v>
          </cell>
          <cell r="D131" t="str">
            <v>Area laminar del Sedipac</v>
          </cell>
        </row>
        <row r="132">
          <cell r="A132" t="str">
            <v>m0111</v>
          </cell>
          <cell r="B132" t="str">
            <v>Nombre de décanteur primaire</v>
          </cell>
          <cell r="C132" t="str">
            <v>Number of primary settling tank</v>
          </cell>
          <cell r="D132" t="str">
            <v>Numero de primer decantadores</v>
          </cell>
        </row>
        <row r="133">
          <cell r="A133" t="str">
            <v>m0112</v>
          </cell>
          <cell r="B133" t="str">
            <v>Débit unitaire moyen</v>
          </cell>
          <cell r="C133" t="str">
            <v>Average unitary flow</v>
          </cell>
          <cell r="D133" t="str">
            <v>Flujo unitario medio</v>
          </cell>
        </row>
        <row r="134">
          <cell r="A134" t="str">
            <v>m0113</v>
          </cell>
          <cell r="B134" t="str">
            <v>Surface de décantation du Sédipac retenue</v>
          </cell>
          <cell r="C134" t="str">
            <v>Chosen Sedipac decantation area</v>
          </cell>
          <cell r="D134" t="str">
            <v>Area de decantación del Sedipac elejida</v>
          </cell>
        </row>
        <row r="135">
          <cell r="A135" t="str">
            <v>m0114</v>
          </cell>
          <cell r="B135" t="str">
            <v>Nb d'heures prises en compte pour Qmoyen</v>
          </cell>
          <cell r="C135" t="str">
            <v>Nb of hours taken for Qaverage calcul</v>
          </cell>
          <cell r="D135" t="str">
            <v>N° de horas utilizadas para Qmedio</v>
          </cell>
        </row>
        <row r="136">
          <cell r="A136" t="str">
            <v>m0115</v>
          </cell>
          <cell r="B136" t="str">
            <v>Débit moyen de calcul de la station</v>
          </cell>
          <cell r="C136" t="str">
            <v>Calcul average flow of the plant</v>
          </cell>
          <cell r="D136" t="str">
            <v>Flujo medio de calculo del estación</v>
          </cell>
        </row>
        <row r="137">
          <cell r="A137" t="str">
            <v>m0116</v>
          </cell>
          <cell r="B137" t="str">
            <v>Débit moyen par décanteur primaire</v>
          </cell>
          <cell r="C137" t="str">
            <v>Average flow for each settling tank</v>
          </cell>
          <cell r="D137" t="str">
            <v>Flujo medio por primer decantador</v>
          </cell>
        </row>
        <row r="138">
          <cell r="A138" t="str">
            <v>m0117</v>
          </cell>
          <cell r="B138" t="str">
            <v>Débit maxi par décanteur primaire</v>
          </cell>
          <cell r="C138" t="str">
            <v>Maximum flow for each settling tank</v>
          </cell>
          <cell r="D138" t="str">
            <v>Flujo maxi por primer decantador</v>
          </cell>
        </row>
        <row r="139">
          <cell r="A139" t="str">
            <v>m0118</v>
          </cell>
          <cell r="B139" t="str">
            <v>Vitesse de décantation maximale</v>
          </cell>
          <cell r="C139" t="str">
            <v>Maximum decantation velocity</v>
          </cell>
          <cell r="D139" t="str">
            <v>Velicidad de decantación maximal</v>
          </cell>
        </row>
        <row r="140">
          <cell r="A140" t="str">
            <v>m0119</v>
          </cell>
          <cell r="B140" t="str">
            <v>Vitesse lamellaire maximale</v>
          </cell>
          <cell r="C140" t="str">
            <v>Maximum lamellar velocity</v>
          </cell>
          <cell r="D140" t="str">
            <v>Velocidad laminar maximal</v>
          </cell>
        </row>
        <row r="141">
          <cell r="A141" t="str">
            <v>m0119a</v>
          </cell>
          <cell r="B141" t="str">
            <v>V trop forte !!</v>
          </cell>
          <cell r="C141" t="str">
            <v>S too high !!</v>
          </cell>
          <cell r="D141" t="str">
            <v>Bajar V !</v>
          </cell>
        </row>
        <row r="142">
          <cell r="A142" t="str">
            <v>m0119b</v>
          </cell>
          <cell r="B142" t="str">
            <v>Vitesse de décantation moyenne</v>
          </cell>
          <cell r="C142" t="str">
            <v>Average decantation velocity</v>
          </cell>
          <cell r="D142" t="str">
            <v>Velocidad de decantación media</v>
          </cell>
        </row>
        <row r="143">
          <cell r="A143" t="str">
            <v>m0119c</v>
          </cell>
          <cell r="B143" t="str">
            <v>Dimensionnement du DP conventionnel</v>
          </cell>
          <cell r="C143" t="str">
            <v>Design of conventional settling tank</v>
          </cell>
          <cell r="D143" t="str">
            <v>Diseño del PD conventional</v>
          </cell>
        </row>
        <row r="144">
          <cell r="A144" t="str">
            <v>m0119d</v>
          </cell>
          <cell r="B144" t="str">
            <v>Vitesse ascensionnelle maxi retenue</v>
          </cell>
          <cell r="C144" t="str">
            <v>Chosen maximum rising velocity</v>
          </cell>
          <cell r="D144" t="str">
            <v>Velocidad ascencional maxi elejida</v>
          </cell>
        </row>
        <row r="145">
          <cell r="A145" t="str">
            <v>m0119e</v>
          </cell>
          <cell r="B145" t="str">
            <v>Surface totale nécessaire</v>
          </cell>
          <cell r="C145" t="str">
            <v>Necessary total area</v>
          </cell>
          <cell r="D145" t="str">
            <v>Superficie totale necesaria</v>
          </cell>
        </row>
        <row r="146">
          <cell r="A146" t="str">
            <v>m0119f</v>
          </cell>
          <cell r="B146" t="str">
            <v>Surface unitaire nécessaire</v>
          </cell>
          <cell r="C146" t="str">
            <v>Necessary unit area</v>
          </cell>
          <cell r="D146" t="str">
            <v>Superficie unitaira elejida</v>
          </cell>
        </row>
        <row r="147">
          <cell r="A147" t="str">
            <v>m0119g</v>
          </cell>
          <cell r="B147" t="str">
            <v>Surface unitaire retenue</v>
          </cell>
          <cell r="C147" t="str">
            <v>Chosen unit area</v>
          </cell>
          <cell r="D147" t="str">
            <v>Superficie unitaira necesaria</v>
          </cell>
        </row>
        <row r="148">
          <cell r="A148" t="str">
            <v>m0119h</v>
          </cell>
          <cell r="B148" t="str">
            <v>Vitesse ascensionnelle maxi réelle</v>
          </cell>
          <cell r="C148" t="str">
            <v>Maxi real rising velocity</v>
          </cell>
          <cell r="D148" t="str">
            <v>Velocidad ascencional maxi real</v>
          </cell>
        </row>
        <row r="149">
          <cell r="A149" t="str">
            <v>m0119i</v>
          </cell>
          <cell r="B149" t="str">
            <v>Vitesse ascensionnelle moyenne réelle</v>
          </cell>
          <cell r="C149" t="str">
            <v>Average real rising velocity</v>
          </cell>
          <cell r="D149" t="str">
            <v>Velocidad ascencional media real</v>
          </cell>
        </row>
        <row r="150">
          <cell r="A150" t="str">
            <v>m0119j</v>
          </cell>
          <cell r="B150" t="str">
            <v>Diamètre unitaire retenu</v>
          </cell>
          <cell r="C150" t="str">
            <v>Chosen unitary diameter</v>
          </cell>
          <cell r="D150" t="str">
            <v>Díametro unitario elejido</v>
          </cell>
        </row>
        <row r="151">
          <cell r="A151" t="str">
            <v>m0120</v>
          </cell>
          <cell r="B151" t="str">
            <v>Rendements d'élimination </v>
          </cell>
          <cell r="C151" t="str">
            <v>Elimination efficiency</v>
          </cell>
          <cell r="D151" t="str">
            <v>Rendimientos de eliminación</v>
          </cell>
        </row>
        <row r="152">
          <cell r="A152" t="str">
            <v>m0121</v>
          </cell>
          <cell r="B152" t="str">
            <v>Calculés</v>
          </cell>
          <cell r="C152" t="str">
            <v>Calculated  </v>
          </cell>
          <cell r="D152" t="str">
            <v>Calculado</v>
          </cell>
        </row>
        <row r="153">
          <cell r="A153" t="str">
            <v>m0121a</v>
          </cell>
          <cell r="B153" t="str">
            <v>valeurs maxi</v>
          </cell>
          <cell r="C153" t="str">
            <v>maxi values</v>
          </cell>
          <cell r="D153" t="str">
            <v>valores maxi</v>
          </cell>
        </row>
        <row r="154">
          <cell r="A154" t="str">
            <v>m0121b</v>
          </cell>
          <cell r="B154" t="str">
            <v>Taux de décantation des MDad2</v>
          </cell>
          <cell r="C154" t="str">
            <v>MDad2 decantation rate</v>
          </cell>
          <cell r="D154" t="str">
            <v>Indice de decantación de los MDad2</v>
          </cell>
        </row>
        <row r="155">
          <cell r="A155" t="str">
            <v>m0122</v>
          </cell>
          <cell r="B155" t="str">
            <v>Rendement en MES à Qmoy</v>
          </cell>
          <cell r="C155" t="str">
            <v>TSS efficiency at averageF</v>
          </cell>
          <cell r="D155" t="str">
            <v>Rendimiento en SST a Qmedio</v>
          </cell>
        </row>
        <row r="156">
          <cell r="A156" t="str">
            <v>m0122a</v>
          </cell>
          <cell r="B156" t="str">
            <v>Rendement en MES </v>
          </cell>
          <cell r="C156" t="str">
            <v>TSS efficiency </v>
          </cell>
          <cell r="D156" t="str">
            <v>Rendimiento en SST </v>
          </cell>
        </row>
        <row r="157">
          <cell r="A157" t="str">
            <v>m0123</v>
          </cell>
          <cell r="B157" t="str">
            <v>Rendement en MVS à Qmoy</v>
          </cell>
          <cell r="C157" t="str">
            <v>VSS efficiency at averageF</v>
          </cell>
          <cell r="D157" t="str">
            <v>Rendimiento en SSV a Qmedio</v>
          </cell>
        </row>
        <row r="158">
          <cell r="A158" t="str">
            <v>m0124</v>
          </cell>
          <cell r="B158" t="str">
            <v>Rendement en DBO à Qmoy</v>
          </cell>
          <cell r="C158" t="str">
            <v>BOD efficiency at averageF</v>
          </cell>
          <cell r="D158" t="str">
            <v>Rendimiento en DBO a Qmedio</v>
          </cell>
        </row>
        <row r="159">
          <cell r="A159" t="str">
            <v>m0125</v>
          </cell>
          <cell r="B159" t="str">
            <v>Rendement en DCO à Qmoy</v>
          </cell>
          <cell r="C159" t="str">
            <v>COD efficiency at averageF</v>
          </cell>
          <cell r="D159" t="str">
            <v>Rendimiento en DQO a Qmedio</v>
          </cell>
        </row>
        <row r="160">
          <cell r="A160" t="str">
            <v>m0126</v>
          </cell>
          <cell r="B160" t="str">
            <v>Rendement en NK à Qmoy</v>
          </cell>
          <cell r="C160" t="str">
            <v>TKN efficiency at averageF</v>
          </cell>
          <cell r="D160" t="str">
            <v>Rendimiento en Nk a Qmedio</v>
          </cell>
        </row>
        <row r="161">
          <cell r="A161" t="str">
            <v>m0127</v>
          </cell>
          <cell r="B161" t="str">
            <v>Rendement en P à Qmoy</v>
          </cell>
          <cell r="C161" t="str">
            <v>P efficiency at averageF</v>
          </cell>
          <cell r="D161" t="str">
            <v>Rendimiento en Pt a Qmedio</v>
          </cell>
        </row>
        <row r="162">
          <cell r="A162" t="str">
            <v>m0128</v>
          </cell>
          <cell r="B162" t="str">
            <v>Retenus</v>
          </cell>
          <cell r="C162" t="str">
            <v>Chosen</v>
          </cell>
          <cell r="D162" t="str">
            <v>Elejido</v>
          </cell>
        </row>
        <row r="163">
          <cell r="A163" t="str">
            <v>m0129</v>
          </cell>
          <cell r="B163" t="str">
            <v>Rendement en MES retenu</v>
          </cell>
          <cell r="C163" t="str">
            <v>TSS efficiency</v>
          </cell>
          <cell r="D163" t="str">
            <v>Rendimiento en SST elejido</v>
          </cell>
        </row>
        <row r="164">
          <cell r="A164" t="str">
            <v>m0129b</v>
          </cell>
          <cell r="B164" t="str">
            <v>Vérif cohérence rendement MES retenu et % MES décantable :</v>
          </cell>
          <cell r="C164" t="str">
            <v>Check coherence bw chosen MES efficiency and settleable MES rate</v>
          </cell>
          <cell r="D164" t="str">
            <v>Control coherencia rendimiento MES y % MES decantable</v>
          </cell>
        </row>
        <row r="165">
          <cell r="A165" t="str">
            <v>m0129c</v>
          </cell>
          <cell r="B165" t="str">
            <v>incohérent !</v>
          </cell>
          <cell r="C165" t="str">
            <v>incoherent !</v>
          </cell>
          <cell r="D165" t="str">
            <v>incoherente !</v>
          </cell>
        </row>
        <row r="166">
          <cell r="A166" t="str">
            <v>m0129d</v>
          </cell>
          <cell r="B166" t="str">
            <v>Ajuster le taux de MES décantable retenu (ligne 55):</v>
          </cell>
          <cell r="C166" t="str">
            <v>Check the chosen settleable TSS (line 55):</v>
          </cell>
          <cell r="D166" t="str">
            <v>Ajustar el SST decantable elejjido (linea 55)</v>
          </cell>
        </row>
        <row r="167">
          <cell r="A167" t="str">
            <v>m0130</v>
          </cell>
          <cell r="B167">
            <v>5</v>
          </cell>
          <cell r="C167" t="str">
            <v>VSS efficiency</v>
          </cell>
          <cell r="D167" t="str">
            <v>Rendimiento en SSV</v>
          </cell>
        </row>
        <row r="168">
          <cell r="A168" t="str">
            <v>m0131</v>
          </cell>
          <cell r="B168" t="str">
            <v>Rendement en DBO</v>
          </cell>
          <cell r="C168" t="str">
            <v>BOD efficiency</v>
          </cell>
          <cell r="D168" t="str">
            <v>Rendimiento en DBO </v>
          </cell>
        </row>
        <row r="169">
          <cell r="A169" t="str">
            <v>m0132</v>
          </cell>
          <cell r="B169" t="str">
            <v>Rendement en DCO</v>
          </cell>
          <cell r="C169" t="str">
            <v>COD efficiency</v>
          </cell>
          <cell r="D169" t="str">
            <v>Rendimiento en DQO </v>
          </cell>
        </row>
        <row r="170">
          <cell r="A170" t="str">
            <v>m0133</v>
          </cell>
          <cell r="B170" t="str">
            <v>Rendement en NK</v>
          </cell>
          <cell r="C170" t="str">
            <v>TKN efficiency</v>
          </cell>
          <cell r="D170" t="str">
            <v>Rendimiento en Nk</v>
          </cell>
        </row>
        <row r="171">
          <cell r="A171" t="str">
            <v>m0134</v>
          </cell>
          <cell r="B171" t="str">
            <v>Rendement en P</v>
          </cell>
          <cell r="C171" t="str">
            <v>P efficiency</v>
          </cell>
          <cell r="D171" t="str">
            <v>Rendimiento en Pt</v>
          </cell>
        </row>
        <row r="172">
          <cell r="A172" t="str">
            <v>m0134a</v>
          </cell>
          <cell r="B172" t="str">
            <v>limitation %sol</v>
          </cell>
          <cell r="C172" t="str">
            <v>limited %sol</v>
          </cell>
          <cell r="D172" t="str">
            <v>limitación %sol</v>
          </cell>
        </row>
        <row r="173">
          <cell r="A173" t="str">
            <v>m0135</v>
          </cell>
          <cell r="B173" t="str">
            <v>Production de boues primaires</v>
          </cell>
          <cell r="C173" t="str">
            <v>Primary sludge production</v>
          </cell>
          <cell r="D173" t="str">
            <v>Producción de fangos primarios</v>
          </cell>
        </row>
        <row r="174">
          <cell r="A174" t="str">
            <v>m0136</v>
          </cell>
          <cell r="B174" t="str">
            <v>Flux de MES dans les boues primaires</v>
          </cell>
          <cell r="C174" t="str">
            <v>TSS flow in primary sludge</v>
          </cell>
          <cell r="D174" t="str">
            <v>Flujo de SST en los fangos primarios</v>
          </cell>
        </row>
        <row r="175">
          <cell r="A175" t="str">
            <v>m0136a</v>
          </cell>
          <cell r="B175" t="str">
            <v>Boues physico-chimiques retenues dans les BP</v>
          </cell>
          <cell r="C175" t="str">
            <v>Physical-chemical sludge remaining</v>
          </cell>
          <cell r="D175" t="str">
            <v>Fangos físico-químicos retenidos </v>
          </cell>
        </row>
        <row r="176">
          <cell r="A176" t="str">
            <v>m0136b</v>
          </cell>
          <cell r="B176" t="str">
            <v>Production de boues primaires totales</v>
          </cell>
          <cell r="C176" t="str">
            <v>Total primary sludge production</v>
          </cell>
          <cell r="D176" t="str">
            <v>Producción de fangos primarios totales</v>
          </cell>
        </row>
        <row r="177">
          <cell r="A177" t="str">
            <v>m0137</v>
          </cell>
          <cell r="B177" t="str">
            <v>Pourcentage de MV des boues primaires</v>
          </cell>
          <cell r="C177" t="str">
            <v>VS rate in primary sludge</v>
          </cell>
          <cell r="D177" t="str">
            <v>Porcentaje de SV de los fangos primarios </v>
          </cell>
        </row>
        <row r="178">
          <cell r="A178" t="str">
            <v>m0138</v>
          </cell>
          <cell r="B178" t="str">
            <v>Concentration des boues extraites</v>
          </cell>
          <cell r="C178" t="str">
            <v>Extracted sludge concentration</v>
          </cell>
          <cell r="D178" t="str">
            <v>Concentración des los fangos extractos</v>
          </cell>
        </row>
        <row r="179">
          <cell r="A179" t="str">
            <v>m0139</v>
          </cell>
          <cell r="B179" t="str">
            <v>Volume de BP à évacuer</v>
          </cell>
          <cell r="C179" t="str">
            <v>Primary sludge volume to be evacuated</v>
          </cell>
          <cell r="D179" t="str">
            <v>Volumen de FP a evacuar</v>
          </cell>
        </row>
        <row r="180">
          <cell r="A180" t="str">
            <v>m0140</v>
          </cell>
        </row>
        <row r="181">
          <cell r="A181" t="str">
            <v>m0141</v>
          </cell>
        </row>
        <row r="182">
          <cell r="A182" t="str">
            <v>m0141b</v>
          </cell>
          <cell r="B182" t="str">
            <v>dont production de boues physico chimiques</v>
          </cell>
          <cell r="C182" t="str">
            <v>of which physical-chemical sludge production</v>
          </cell>
          <cell r="D182" t="str">
            <v>del cual producción de fangos físico-químicos</v>
          </cell>
        </row>
        <row r="183">
          <cell r="A183" t="str">
            <v>m0141c</v>
          </cell>
          <cell r="B183" t="str">
            <v>Dosage en réactif  (en produit pur)</v>
          </cell>
          <cell r="C183" t="str">
            <v>Reagent rate for Densadeg</v>
          </cell>
          <cell r="D183" t="str">
            <v>Dosaje de reactivo en el Densadeg</v>
          </cell>
        </row>
        <row r="184">
          <cell r="A184" t="str">
            <v>m0141d</v>
          </cell>
          <cell r="B184" t="str">
            <v>Réactif injecté dans le Densadeg ?</v>
          </cell>
          <cell r="C184" t="str">
            <v>Injected reagent in the Densadeg ?</v>
          </cell>
          <cell r="D184" t="str">
            <v>¿Reactivo inyectado en el Densadeg ?</v>
          </cell>
        </row>
        <row r="185">
          <cell r="A185" t="str">
            <v>m0141e</v>
          </cell>
          <cell r="B185" t="str">
            <v>FeCl3</v>
          </cell>
          <cell r="C185" t="str">
            <v>FeCl3</v>
          </cell>
          <cell r="D185" t="str">
            <v>FeCl3</v>
          </cell>
        </row>
        <row r="186">
          <cell r="A186" t="str">
            <v>m0141f</v>
          </cell>
          <cell r="B186" t="str">
            <v>Al2(SO4)3</v>
          </cell>
          <cell r="C186" t="str">
            <v>Al2(SO4)3</v>
          </cell>
          <cell r="D186" t="str">
            <v>Al2(SO4)3</v>
          </cell>
        </row>
        <row r="187">
          <cell r="A187" t="str">
            <v>m0142</v>
          </cell>
          <cell r="B187" t="str">
            <v>Eau décantée</v>
          </cell>
          <cell r="C187" t="str">
            <v>Settled water</v>
          </cell>
          <cell r="D187" t="str">
            <v>Agua decantada</v>
          </cell>
        </row>
        <row r="188">
          <cell r="A188" t="str">
            <v>m0143</v>
          </cell>
          <cell r="B188" t="str">
            <v>Débit sortant</v>
          </cell>
          <cell r="C188" t="str">
            <v>Outlet flow</v>
          </cell>
          <cell r="D188" t="str">
            <v>Flujo en la salida</v>
          </cell>
        </row>
        <row r="189">
          <cell r="A189" t="str">
            <v>m0144</v>
          </cell>
          <cell r="B189" t="str">
            <v>Pourcentage de MV dans l'eau décantée</v>
          </cell>
          <cell r="C189" t="str">
            <v>VS rate in settled water</v>
          </cell>
          <cell r="D189" t="str">
            <v>Porcentaje de SV en el agua decantada </v>
          </cell>
        </row>
        <row r="190">
          <cell r="A190" t="str">
            <v>m0145</v>
          </cell>
          <cell r="B190" t="str">
            <v>Pourcentage de P sol dans l'eau décantée</v>
          </cell>
          <cell r="C190" t="str">
            <v>Soluble P rate in settled water</v>
          </cell>
          <cell r="D190" t="str">
            <v>Porcentaje de P sol en el agua decantada</v>
          </cell>
        </row>
        <row r="191">
          <cell r="A191" t="str">
            <v>m0146</v>
          </cell>
          <cell r="B191" t="str">
            <v>Déphosphatation physico-chimique primaire</v>
          </cell>
          <cell r="C191" t="str">
            <v>Primary physical-chemical P removal</v>
          </cell>
          <cell r="D191" t="str">
            <v>Defosfatación física-química primaria</v>
          </cell>
        </row>
        <row r="192">
          <cell r="A192" t="str">
            <v>m0147</v>
          </cell>
        </row>
        <row r="193">
          <cell r="A193" t="str">
            <v>m0148</v>
          </cell>
        </row>
        <row r="194">
          <cell r="A194" t="str">
            <v>m0149</v>
          </cell>
          <cell r="B194" t="str">
            <v>Taux de MV des boues en sortie du DP</v>
          </cell>
          <cell r="C194" t="str">
            <v>VS rate at the outlet of settling tank</v>
          </cell>
          <cell r="D194" t="str">
            <v>% VS en los fangos en la salida del PD</v>
          </cell>
        </row>
        <row r="195">
          <cell r="A195" t="str">
            <v>m0150</v>
          </cell>
          <cell r="B195" t="str">
            <v>Flux de P orthophosphate (P-PO4)</v>
          </cell>
          <cell r="C195" t="str">
            <v>PO4-P load</v>
          </cell>
          <cell r="D195" t="str">
            <v>Flujo de P-PO4</v>
          </cell>
        </row>
        <row r="196">
          <cell r="A196" t="str">
            <v>m0151</v>
          </cell>
          <cell r="B196" t="str">
            <v>Conc P soluble après physico-chimique</v>
          </cell>
          <cell r="C196" t="str">
            <v>Soluble P conc after physical-chemical</v>
          </cell>
          <cell r="D196" t="str">
            <v>Conc P sol despues físico químico</v>
          </cell>
        </row>
        <row r="197">
          <cell r="A197" t="str">
            <v>m0152</v>
          </cell>
          <cell r="B197" t="str">
            <v>Rapport molaire sur P sol</v>
          </cell>
          <cell r="C197" t="str">
            <v>Ratio of molar mass </v>
          </cell>
          <cell r="D197" t="str">
            <v>Relación molar con P sol</v>
          </cell>
        </row>
        <row r="198">
          <cell r="A198" t="str">
            <v>m0153</v>
          </cell>
          <cell r="B198" t="str">
            <v>soit conc P orthophosphate</v>
          </cell>
          <cell r="C198" t="str">
            <v>so PO4-P conc</v>
          </cell>
          <cell r="D198" t="str">
            <v>entonces conc P-PO4</v>
          </cell>
        </row>
        <row r="199">
          <cell r="A199" t="str">
            <v>m0154</v>
          </cell>
        </row>
        <row r="200">
          <cell r="A200" t="str">
            <v>m0155</v>
          </cell>
          <cell r="B200" t="str">
            <v>Dimensionnement du Densadeg</v>
          </cell>
          <cell r="C200" t="str">
            <v>Densadeg design</v>
          </cell>
          <cell r="D200" t="str">
            <v>Diseño del Densadeg</v>
          </cell>
        </row>
        <row r="201">
          <cell r="A201" t="str">
            <v>m0156</v>
          </cell>
          <cell r="B201" t="str">
            <v>Vitesse aux lamelles maxi du Densadeg</v>
          </cell>
          <cell r="C201" t="str">
            <v>Maxi rising velocity</v>
          </cell>
          <cell r="D201" t="str">
            <v>Velocidad ascencional maxi</v>
          </cell>
        </row>
        <row r="202">
          <cell r="A202" t="str">
            <v>m0157</v>
          </cell>
          <cell r="B202" t="str">
            <v>Vitesse aux lamelles moyenne du Densadeg</v>
          </cell>
          <cell r="C202" t="str">
            <v>Average rising velocity</v>
          </cell>
          <cell r="D202" t="str">
            <v>Velocidad ascencional media</v>
          </cell>
        </row>
        <row r="203">
          <cell r="A203" t="str">
            <v>m0158</v>
          </cell>
          <cell r="B203" t="str">
            <v>Surface lamellaire mini du Densadeg</v>
          </cell>
          <cell r="C203" t="str">
            <v>Minimum Densadeg lamellar area</v>
          </cell>
          <cell r="D203" t="str">
            <v>Area lamellar mini del Densadeg</v>
          </cell>
        </row>
        <row r="204">
          <cell r="A204" t="str">
            <v>m0159</v>
          </cell>
          <cell r="B204" t="str">
            <v>Surface lamellaire standard retenue</v>
          </cell>
          <cell r="C204" t="str">
            <v>Chosen Densadeg lamellar area</v>
          </cell>
          <cell r="D204" t="str">
            <v>Area lamellar elejida del Densadeg</v>
          </cell>
        </row>
        <row r="205">
          <cell r="A205" t="str">
            <v>m0160</v>
          </cell>
          <cell r="B205" t="str">
            <v>Surface de décantation standard correspondante</v>
          </cell>
          <cell r="C205" t="str">
            <v>Chosen Densadeg decantation area</v>
          </cell>
          <cell r="D205" t="str">
            <v>Area de decantación elejida del Densadeg</v>
          </cell>
        </row>
        <row r="206">
          <cell r="A206" t="str">
            <v>m0161</v>
          </cell>
          <cell r="B206" t="str">
            <v>Surface de décantation SD</v>
          </cell>
          <cell r="C206" t="str">
            <v>Decantation area</v>
          </cell>
          <cell r="D206" t="str">
            <v>Area de decantación</v>
          </cell>
        </row>
        <row r="207">
          <cell r="A207" t="str">
            <v>m0162</v>
          </cell>
          <cell r="B207" t="str">
            <v>Surface lamellaire SL</v>
          </cell>
          <cell r="C207" t="str">
            <v>Lamellar area </v>
          </cell>
          <cell r="D207" t="str">
            <v>Area lamellar</v>
          </cell>
        </row>
        <row r="208">
          <cell r="A208" t="str">
            <v>m0163</v>
          </cell>
        </row>
        <row r="209">
          <cell r="A209" t="str">
            <v>m0200</v>
          </cell>
          <cell r="B209" t="str">
            <v>4. REACTEUR BIOLOGIQUE</v>
          </cell>
          <cell r="C209" t="str">
            <v>4. BIOLOGICAL REACTOR</v>
          </cell>
          <cell r="D209" t="str">
            <v>REACTOR BIOLOGICO</v>
          </cell>
        </row>
        <row r="210">
          <cell r="A210" t="str">
            <v>m0200a</v>
          </cell>
          <cell r="B210" t="str">
            <v>Réacteur biologique</v>
          </cell>
          <cell r="C210" t="str">
            <v>Biological reactor </v>
          </cell>
          <cell r="D210" t="str">
            <v>Reactor Biológico</v>
          </cell>
        </row>
        <row r="211">
          <cell r="A211" t="str">
            <v>m0200b</v>
          </cell>
          <cell r="B211" t="str">
            <v>Mélange de l'eau brute du by-pass du DP ?</v>
          </cell>
          <cell r="C211" t="str">
            <v>Mixing of settling tank by-passed water ?</v>
          </cell>
          <cell r="D211" t="str">
            <v>Mezcla del agua del by-pass de 1er decantador ?</v>
          </cell>
        </row>
        <row r="212">
          <cell r="A212" t="str">
            <v>m0201</v>
          </cell>
          <cell r="B212" t="str">
            <v>% du débit moyen admis sur le biologique</v>
          </cell>
          <cell r="C212" t="str">
            <v>Average Flow percentage at the biologic inlet</v>
          </cell>
          <cell r="D212" t="str">
            <v>% del cuadal medio admitido en el biológico</v>
          </cell>
        </row>
        <row r="213">
          <cell r="A213" t="str">
            <v>m0202</v>
          </cell>
          <cell r="B213" t="str">
            <v>Influent à l'entrée du biologique (y compris EB du by pass décanteur 1er)</v>
          </cell>
          <cell r="C213" t="str">
            <v>Biological inlet influent (including primary seetling by pass)</v>
          </cell>
          <cell r="D213" t="str">
            <v>Agua el la entrada del biológico (by pass 1er decantación incluido)</v>
          </cell>
        </row>
        <row r="214">
          <cell r="A214" t="str">
            <v>m0203</v>
          </cell>
          <cell r="B214" t="str">
            <v>Débit journalier (pris en compte dans les calculs)</v>
          </cell>
          <cell r="C214" t="str">
            <v>Daily flow (taken in the calculs)</v>
          </cell>
          <cell r="D214" t="str">
            <v>Caudal diario  (tomado en los calculos)</v>
          </cell>
        </row>
        <row r="215">
          <cell r="A215" t="str">
            <v>m0204</v>
          </cell>
          <cell r="B215" t="str">
            <v>Débit moyen</v>
          </cell>
          <cell r="C215" t="str">
            <v>Average flow</v>
          </cell>
          <cell r="D215" t="str">
            <v>Cuadal medio</v>
          </cell>
        </row>
        <row r="216">
          <cell r="A216" t="str">
            <v>m0204a</v>
          </cell>
          <cell r="B216" t="str">
            <v>Débit de pointe temps sec</v>
          </cell>
          <cell r="C216" t="str">
            <v>Dry weather peak flow</v>
          </cell>
          <cell r="D216" t="str">
            <v>Cuadal punta tiempo seco</v>
          </cell>
        </row>
        <row r="217">
          <cell r="A217" t="str">
            <v>m0204b</v>
          </cell>
          <cell r="B217" t="str">
            <v>Débit de pointe maxi admis sur biologique</v>
          </cell>
          <cell r="C217" t="str">
            <v>Maxi peak flow admited on biological</v>
          </cell>
          <cell r="D217" t="str">
            <v>Cuadal punta maxi admitido on biologico</v>
          </cell>
        </row>
        <row r="218">
          <cell r="A218" t="str">
            <v>m0205</v>
          </cell>
          <cell r="B218" t="str">
            <v>Rapport MES / DBO à l'entrée du biologique</v>
          </cell>
          <cell r="C218" t="str">
            <v>TSS/BOD ratio at the biologic inlet</v>
          </cell>
          <cell r="D218" t="str">
            <v>Relación SST / DBO</v>
          </cell>
        </row>
        <row r="219">
          <cell r="A219" t="str">
            <v>m0206</v>
          </cell>
          <cell r="B219" t="str">
            <v>Taux de MV à l'entrée du biologique</v>
          </cell>
          <cell r="C219" t="str">
            <v>VS rate at the biologic inlet</v>
          </cell>
          <cell r="D219" t="str">
            <v>% VS en la entrada del biológico</v>
          </cell>
        </row>
        <row r="220">
          <cell r="A220" t="str">
            <v>m0207</v>
          </cell>
          <cell r="B220" t="str">
            <v>Taux de MM à l'entrée du biologique</v>
          </cell>
          <cell r="C220" t="str">
            <v>MS rate at the biologic inlet</v>
          </cell>
          <cell r="D220" t="str">
            <v>% MS en la entrada del biológico </v>
          </cell>
        </row>
        <row r="221">
          <cell r="A221" t="str">
            <v>m0208</v>
          </cell>
          <cell r="B221" t="str">
            <v>Retours de boues en tête du biologique</v>
          </cell>
          <cell r="C221" t="str">
            <v>Sludge returns at biologic inlet</v>
          </cell>
          <cell r="D221" t="str">
            <v>Retornos de fangos en la entrada del biológico</v>
          </cell>
        </row>
        <row r="222">
          <cell r="A222" t="str">
            <v>m0209</v>
          </cell>
          <cell r="B222" t="str">
            <v>Flux DBO soluble</v>
          </cell>
          <cell r="C222" t="str">
            <v>soluble BOD flow</v>
          </cell>
          <cell r="D222" t="str">
            <v>Flujo de DBO soluble</v>
          </cell>
        </row>
        <row r="223">
          <cell r="A223" t="str">
            <v>m0210</v>
          </cell>
          <cell r="B223" t="str">
            <v>Flux DCO soluble</v>
          </cell>
          <cell r="C223" t="str">
            <v>soluble COD flow</v>
          </cell>
          <cell r="D223" t="str">
            <v>Flujo de DQO soluble</v>
          </cell>
        </row>
        <row r="224">
          <cell r="A224" t="str">
            <v>m0211</v>
          </cell>
          <cell r="B224" t="str">
            <v>Flux N-NH4</v>
          </cell>
          <cell r="C224" t="str">
            <v>soluble NH4-N flow</v>
          </cell>
          <cell r="D224" t="str">
            <v>Flujo de N-NH4</v>
          </cell>
        </row>
        <row r="225">
          <cell r="A225" t="str">
            <v>m0212</v>
          </cell>
          <cell r="B225" t="str">
            <v>Flux P soluble</v>
          </cell>
          <cell r="C225" t="str">
            <v>soluble P flow</v>
          </cell>
          <cell r="D225" t="str">
            <v>Flujo de P soluble</v>
          </cell>
        </row>
        <row r="226">
          <cell r="A226" t="str">
            <v>m0213</v>
          </cell>
          <cell r="B226" t="str">
            <v>Concentration à l'entrée du biologique</v>
          </cell>
          <cell r="C226" t="str">
            <v>Biologic inlet concentration</v>
          </cell>
          <cell r="D226" t="str">
            <v>Concentración en la entrada del biológico</v>
          </cell>
        </row>
        <row r="227">
          <cell r="A227" t="str">
            <v>m0213a</v>
          </cell>
          <cell r="B227" t="str">
            <v>Injection de boues du biomaster dans le réacteur bio:</v>
          </cell>
          <cell r="C227" t="str">
            <v>Biomaster' sludge injection into biological reactor:</v>
          </cell>
          <cell r="D227" t="str">
            <v>Inyección de fangos del biomaster en el reactor biológico</v>
          </cell>
        </row>
        <row r="228">
          <cell r="A228" t="str">
            <v>m0213b</v>
          </cell>
          <cell r="B228" t="str">
            <v>faire appel à la DTG !</v>
          </cell>
          <cell r="C228" t="str">
            <v>call the DTG !</v>
          </cell>
          <cell r="D228" t="str">
            <v>llamar la DTG !</v>
          </cell>
        </row>
        <row r="229">
          <cell r="A229" t="str">
            <v>m0214</v>
          </cell>
          <cell r="B229" t="str">
            <v>Réacteur biologique</v>
          </cell>
          <cell r="C229" t="str">
            <v>Biological reactor</v>
          </cell>
          <cell r="D229" t="str">
            <v>Reactor Biológico</v>
          </cell>
        </row>
        <row r="230">
          <cell r="A230" t="str">
            <v>m0215</v>
          </cell>
          <cell r="B230" t="str">
            <v>Nitrification requise ?</v>
          </cell>
          <cell r="C230" t="str">
            <v>Nitrification required ?</v>
          </cell>
          <cell r="D230" t="str">
            <v>¿Nitrificación necessitada ?</v>
          </cell>
        </row>
        <row r="231">
          <cell r="A231" t="str">
            <v>m0216</v>
          </cell>
          <cell r="B231" t="str">
            <v>Concentration en MES dans les bassins</v>
          </cell>
          <cell r="C231" t="str">
            <v>TSS concentration in the tank</v>
          </cell>
          <cell r="D231" t="str">
            <v>Concentración SS en el tanque</v>
          </cell>
        </row>
        <row r="232">
          <cell r="A232" t="str">
            <v>m0217</v>
          </cell>
          <cell r="B232" t="str">
            <v>Concentration en MVS dans les bassins</v>
          </cell>
          <cell r="C232" t="str">
            <v>VSS concentration in the tank</v>
          </cell>
          <cell r="D232" t="str">
            <v>Concentración VS en el tanque</v>
          </cell>
        </row>
        <row r="233">
          <cell r="A233" t="str">
            <v>m0217b</v>
          </cell>
          <cell r="B233" t="str">
            <v>Taux de MV dans le réacteur biologique</v>
          </cell>
          <cell r="C233" t="str">
            <v>VS rate in biological reactor</v>
          </cell>
          <cell r="D233" t="str">
            <v>% VS en el reactor biológico</v>
          </cell>
        </row>
        <row r="234">
          <cell r="A234" t="str">
            <v>m0218</v>
          </cell>
          <cell r="B234" t="str">
            <v>Type de charge</v>
          </cell>
          <cell r="C234" t="str">
            <v>King of rate </v>
          </cell>
          <cell r="D234" t="str">
            <v>Tipo de carga</v>
          </cell>
        </row>
        <row r="235">
          <cell r="A235" t="str">
            <v>m0218a</v>
          </cell>
          <cell r="B235" t="str">
            <v>aération prolongée</v>
          </cell>
          <cell r="C235" t="str">
            <v>extended aeration</v>
          </cell>
          <cell r="D235" t="str">
            <v>aeración prolongada</v>
          </cell>
        </row>
        <row r="236">
          <cell r="A236" t="str">
            <v>m0218b</v>
          </cell>
          <cell r="B236" t="str">
            <v>faible charge</v>
          </cell>
          <cell r="C236" t="str">
            <v>low rate</v>
          </cell>
          <cell r="D236" t="str">
            <v>baja carga</v>
          </cell>
        </row>
        <row r="237">
          <cell r="A237" t="str">
            <v>m0218c</v>
          </cell>
          <cell r="B237" t="str">
            <v>moyenne charge </v>
          </cell>
          <cell r="C237" t="str">
            <v>medium rate</v>
          </cell>
          <cell r="D237" t="str">
            <v>media carga</v>
          </cell>
        </row>
        <row r="238">
          <cell r="A238" t="str">
            <v>m0218d</v>
          </cell>
          <cell r="B238" t="str">
            <v>forte charge</v>
          </cell>
          <cell r="C238" t="str">
            <v>high rate</v>
          </cell>
          <cell r="D238" t="str">
            <v>alta carga</v>
          </cell>
        </row>
        <row r="239">
          <cell r="A239" t="str">
            <v>m0219</v>
          </cell>
          <cell r="B239" t="str">
            <v>Situation vis à vis de la nitrification</v>
          </cell>
          <cell r="C239" t="str">
            <v>Situation for nitrification</v>
          </cell>
          <cell r="D239" t="str">
            <v>Situación para la nitrificación</v>
          </cell>
        </row>
        <row r="240">
          <cell r="A240" t="str">
            <v>m0219a</v>
          </cell>
          <cell r="B240" t="str">
            <v>possible</v>
          </cell>
          <cell r="C240" t="str">
            <v>possible</v>
          </cell>
          <cell r="D240" t="str">
            <v>posible </v>
          </cell>
        </row>
        <row r="241">
          <cell r="A241" t="str">
            <v>m0219b</v>
          </cell>
          <cell r="B241" t="str">
            <v>impossible</v>
          </cell>
          <cell r="C241" t="str">
            <v>impossible</v>
          </cell>
          <cell r="D241" t="str">
            <v>imposible</v>
          </cell>
        </row>
        <row r="242">
          <cell r="A242" t="str">
            <v>m0219c</v>
          </cell>
          <cell r="B242" t="str">
            <v>nitrif impossible</v>
          </cell>
          <cell r="C242" t="str">
            <v>nitrif impossible</v>
          </cell>
          <cell r="D242" t="str">
            <v>nitrif imposible</v>
          </cell>
        </row>
        <row r="243">
          <cell r="A243" t="str">
            <v>m0219d</v>
          </cell>
          <cell r="B243" t="str">
            <v>risque nitrif</v>
          </cell>
          <cell r="C243" t="str">
            <v>risk of nitrif</v>
          </cell>
          <cell r="D243" t="str">
            <v>riesgo de nitrif</v>
          </cell>
        </row>
        <row r="244">
          <cell r="A244" t="str">
            <v>m0220a</v>
          </cell>
          <cell r="B244" t="str">
            <v>Prise en compte des boues contenues dans le clarificateur ?</v>
          </cell>
          <cell r="C244" t="str">
            <v>Take into account sludge in 2nd clarifier ?</v>
          </cell>
          <cell r="D244" t="str">
            <v>Tener en cuenta los lodos del clarificador ?</v>
          </cell>
        </row>
        <row r="245">
          <cell r="A245" t="str">
            <v>m0220b</v>
          </cell>
          <cell r="B245" t="str">
            <v>Age de boues sur volume aéré</v>
          </cell>
          <cell r="C245" t="str">
            <v>SRT on aerated volumes</v>
          </cell>
          <cell r="D245" t="str">
            <v>Edad de fangos en el volumen oxígenado</v>
          </cell>
        </row>
        <row r="246">
          <cell r="A246" t="str">
            <v>m0221</v>
          </cell>
          <cell r="B246" t="str">
            <v>Age de boues sur volume total *</v>
          </cell>
          <cell r="C246" t="str">
            <v>SRT on total volumes *</v>
          </cell>
          <cell r="D246" t="str">
            <v>Edad de fangos en el volumen total *</v>
          </cell>
        </row>
        <row r="247">
          <cell r="A247" t="str">
            <v>m0221b</v>
          </cell>
          <cell r="B247" t="str">
            <v>Temps de séjour hydraulique global</v>
          </cell>
          <cell r="C247" t="str">
            <v>Global retention time</v>
          </cell>
          <cell r="D247" t="str">
            <v>Tiempo de retención global</v>
          </cell>
        </row>
        <row r="248">
          <cell r="A248" t="str">
            <v>m0222</v>
          </cell>
          <cell r="B248" t="str">
            <v>Charge massique effective (MS) *    en kgDBO/kgMES/j</v>
          </cell>
          <cell r="C248" t="str">
            <v>Effective F/M ratio (TS) *  in kgDOB/kgTSS/d</v>
          </cell>
          <cell r="D248" t="str">
            <v>Carga de solidos (SS) en kg DBO/kgSS/d</v>
          </cell>
        </row>
        <row r="249">
          <cell r="A249" t="str">
            <v>m0223</v>
          </cell>
          <cell r="B249" t="str">
            <v>Charge massique effective (MV) *    en kgDBO/kgMVS/j</v>
          </cell>
          <cell r="C249" t="str">
            <v>Effective F/M ratio (VS) *  in kg BOD/kgVSS/d </v>
          </cell>
          <cell r="D249" t="str">
            <v>Carga de solidos (VS) en kg DBO/kgVS/d</v>
          </cell>
        </row>
        <row r="250">
          <cell r="A250" t="str">
            <v>m0224</v>
          </cell>
          <cell r="B250" t="str">
            <v>Charge volumique envisagée  </v>
          </cell>
          <cell r="C250" t="str">
            <v>BOD loading  </v>
          </cell>
          <cell r="D250" t="str">
            <v>Carga volumica</v>
          </cell>
        </row>
        <row r="251">
          <cell r="A251" t="str">
            <v>m0225</v>
          </cell>
          <cell r="B251" t="str">
            <v>* calculé sur volume total (bio + clarif) hors anaérobie</v>
          </cell>
          <cell r="C251" t="str">
            <v>* calculated on total volume (bio+clarifier) except anaerobic </v>
          </cell>
          <cell r="D251" t="str">
            <v>* calculado sobre el volumen total (bio + clarificador) sin la anaerobia</v>
          </cell>
        </row>
        <row r="252">
          <cell r="A252" t="str">
            <v>m0226</v>
          </cell>
          <cell r="B252" t="str">
            <v>Temps séjour hydraulique sur Q moyen</v>
          </cell>
          <cell r="C252" t="str">
            <v>Hydraulic retention time on average flow</v>
          </cell>
          <cell r="D252" t="str">
            <v>Tiempo de retención hidrolico a Q medio</v>
          </cell>
        </row>
        <row r="253">
          <cell r="A253" t="str">
            <v>m0227</v>
          </cell>
          <cell r="B253" t="str">
            <v>Temps séjour hydraulique sur Q pointe temps sec</v>
          </cell>
          <cell r="C253" t="str">
            <v>Hydraulic retention time on dry weather peak flow</v>
          </cell>
          <cell r="D253" t="str">
            <v>Tiempo de retencion hidrolico a Q pico</v>
          </cell>
        </row>
        <row r="254">
          <cell r="A254" t="str">
            <v>m0228</v>
          </cell>
          <cell r="B254" t="str">
            <v>Augmentation de la conc en boue sans purge</v>
          </cell>
          <cell r="C254" t="str">
            <v>Increase of sludge conc without draw off</v>
          </cell>
          <cell r="D254" t="str">
            <v>Aumento de la conc en fango sin purgas</v>
          </cell>
        </row>
        <row r="255">
          <cell r="A255" t="str">
            <v>m0229</v>
          </cell>
          <cell r="B255" t="str">
            <v>Espacement maxi entre 2 purges</v>
          </cell>
          <cell r="C255" t="str">
            <v>Maximum delay between 2 sludge draw off</v>
          </cell>
          <cell r="D255" t="str">
            <v>Tiempo maximum entre 2 purgas</v>
          </cell>
        </row>
        <row r="256">
          <cell r="A256" t="str">
            <v>m0230</v>
          </cell>
          <cell r="B256" t="str">
            <v>Zone de contact</v>
          </cell>
          <cell r="C256" t="str">
            <v>Contact zone</v>
          </cell>
          <cell r="D256" t="str">
            <v>Zona de contacto</v>
          </cell>
        </row>
        <row r="257">
          <cell r="A257" t="str">
            <v>m0231</v>
          </cell>
          <cell r="B257" t="str">
            <v>% de DCO facilement assimilable entrée bio</v>
          </cell>
          <cell r="C257" t="str">
            <v>% COD easily assimilated at biol inlet</v>
          </cell>
          <cell r="D257" t="str">
            <v>% DQO facilmente asimilable entrada bio</v>
          </cell>
        </row>
        <row r="258">
          <cell r="A258" t="str">
            <v>m0232</v>
          </cell>
          <cell r="B258" t="str">
            <v>Débit à recirculer</v>
          </cell>
          <cell r="C258" t="str">
            <v>Flow to recirculate</v>
          </cell>
          <cell r="D258" t="str">
            <v>Cuadal a recirculer</v>
          </cell>
        </row>
        <row r="259">
          <cell r="A259" t="str">
            <v>m0233</v>
          </cell>
          <cell r="B259" t="str">
            <v>Temps de séjour dans la zone de contact</v>
          </cell>
          <cell r="C259" t="str">
            <v>Retention time in the contact zone</v>
          </cell>
          <cell r="D259" t="str">
            <v>Tiempo de retención en la zona de contacto</v>
          </cell>
        </row>
        <row r="260">
          <cell r="A260" t="str">
            <v>m0234</v>
          </cell>
          <cell r="B260" t="str">
            <v>Zone de contact obligatoire avec le Chenal</v>
          </cell>
          <cell r="C260" t="str">
            <v>Contact zone compulsary with aeration ditch</v>
          </cell>
          <cell r="D260" t="str">
            <v>Zona de contacto obligatoria con el canal de oxidación</v>
          </cell>
        </row>
        <row r="261">
          <cell r="A261" t="str">
            <v>m0235</v>
          </cell>
          <cell r="B261" t="str">
            <v>Volume de la zone de contact</v>
          </cell>
          <cell r="C261" t="str">
            <v>Contact zone volume</v>
          </cell>
          <cell r="D261" t="str">
            <v>Volumen de la zona de contacto</v>
          </cell>
        </row>
        <row r="262">
          <cell r="A262" t="str">
            <v>m0236</v>
          </cell>
          <cell r="B262" t="str">
            <v>Volume retenu pour la zone de contact</v>
          </cell>
          <cell r="C262" t="str">
            <v>Chosen volume for contact zone</v>
          </cell>
          <cell r="D262" t="str">
            <v>Volumen retenido para la zona de contacto</v>
          </cell>
        </row>
        <row r="263">
          <cell r="A263" t="str">
            <v>m0237</v>
          </cell>
        </row>
        <row r="264">
          <cell r="A264" t="str">
            <v>m0238</v>
          </cell>
          <cell r="B264" t="str">
            <v>Ce volume est soustrait au volume de la zone Anoxique</v>
          </cell>
          <cell r="C264" t="str">
            <v>This volume is deducted from the anoxic volume</v>
          </cell>
          <cell r="D264" t="str">
            <v>Este volumen se soustrae al volumen anóxico</v>
          </cell>
        </row>
        <row r="265">
          <cell r="A265" t="str">
            <v>m0239</v>
          </cell>
        </row>
        <row r="267">
          <cell r="A267" t="str">
            <v>m0290</v>
          </cell>
          <cell r="B267" t="str">
            <v>Rappel de la température</v>
          </cell>
          <cell r="C267" t="str">
            <v>Remind of the temperature</v>
          </cell>
          <cell r="D267" t="str">
            <v>Recuerda de la temperatura</v>
          </cell>
        </row>
        <row r="268">
          <cell r="A268" t="str">
            <v>m0291</v>
          </cell>
          <cell r="B268" t="str">
            <v>Age de boues aéré limite</v>
          </cell>
          <cell r="C268" t="str">
            <v>Limite aerated sludge age</v>
          </cell>
          <cell r="D268" t="str">
            <v>Edad de fangos aerado límite</v>
          </cell>
        </row>
        <row r="269">
          <cell r="A269" t="str">
            <v>m0291a</v>
          </cell>
        </row>
        <row r="270">
          <cell r="A270" t="str">
            <v>m0292</v>
          </cell>
          <cell r="B270" t="str">
            <v>Volume mini suivant l'age de boue minimum</v>
          </cell>
          <cell r="C270" t="str">
            <v>Minimum volume for minimum sludge age</v>
          </cell>
          <cell r="D270" t="str">
            <v>Volumen nimi segun el adad de fango mini</v>
          </cell>
        </row>
        <row r="271">
          <cell r="A271" t="str">
            <v>m0293</v>
          </cell>
        </row>
        <row r="272">
          <cell r="A272" t="str">
            <v>m0294</v>
          </cell>
          <cell r="B272" t="str">
            <v>Volume retenu pour l'aération</v>
          </cell>
          <cell r="C272" t="str">
            <v>Chosen aeration volume </v>
          </cell>
          <cell r="D272" t="str">
            <v>Volumen retenido para la zona oxígenada</v>
          </cell>
        </row>
        <row r="273">
          <cell r="A273" t="str">
            <v>m0295</v>
          </cell>
          <cell r="B273" t="str">
            <v>Volume aéré total (V endogène aéré inclus)</v>
          </cell>
          <cell r="C273" t="str">
            <v>Total aerated volume (endogenous aerated V included)</v>
          </cell>
          <cell r="D273" t="str">
            <v>Volumen oxígenado total (V endogeno oxígenado incluido)</v>
          </cell>
        </row>
        <row r="274">
          <cell r="A274" t="str">
            <v>m0296</v>
          </cell>
        </row>
        <row r="275">
          <cell r="A275" t="str">
            <v>m0297</v>
          </cell>
        </row>
        <row r="276">
          <cell r="A276" t="str">
            <v>m0298</v>
          </cell>
        </row>
        <row r="277">
          <cell r="A277" t="str">
            <v>m0300</v>
          </cell>
          <cell r="B277" t="str">
            <v>Nitrification</v>
          </cell>
          <cell r="C277" t="str">
            <v>Nitrification  </v>
          </cell>
          <cell r="D277" t="str">
            <v>Nitrificación</v>
          </cell>
        </row>
        <row r="278">
          <cell r="A278" t="str">
            <v>m0300a</v>
          </cell>
          <cell r="B278" t="str">
            <v>Potentiel de nitrification</v>
          </cell>
          <cell r="C278" t="str">
            <v>Nitrification potential</v>
          </cell>
          <cell r="D278" t="str">
            <v>Potencial de nitrificación</v>
          </cell>
        </row>
        <row r="279">
          <cell r="A279" t="str">
            <v>m0301</v>
          </cell>
          <cell r="B279" t="str">
            <v>Rappel poids de NTK à l'entrée de la station</v>
          </cell>
          <cell r="C279" t="str">
            <v>Remind of TKN load at the plant inlet</v>
          </cell>
          <cell r="D279" t="str">
            <v>Recuerdo del flujo de NTK en la entrada de la estación</v>
          </cell>
        </row>
        <row r="280">
          <cell r="A280" t="str">
            <v>m0302</v>
          </cell>
          <cell r="B280" t="str">
            <v>Rappel poids de NTK à l'entrée du biologique</v>
          </cell>
          <cell r="C280" t="str">
            <v>Remind of TKN load at the biologic inlet</v>
          </cell>
          <cell r="D280" t="str">
            <v>Recuerdo del flujo de NTK en la entrada del biológico</v>
          </cell>
        </row>
        <row r="281">
          <cell r="A281" t="str">
            <v>m0303</v>
          </cell>
        </row>
        <row r="282">
          <cell r="A282" t="str">
            <v>m0304</v>
          </cell>
          <cell r="B282" t="str">
            <v>Poids d'azote NTK résiduel non nitrifiable</v>
          </cell>
          <cell r="C282" t="str">
            <v>Residual TKN load</v>
          </cell>
          <cell r="D282" t="str">
            <v>Flujo de NTK residual no nitrifiable</v>
          </cell>
        </row>
        <row r="283">
          <cell r="A283" t="str">
            <v>m0305</v>
          </cell>
        </row>
        <row r="284">
          <cell r="A284" t="str">
            <v>m0306</v>
          </cell>
          <cell r="B284" t="str">
            <v>Poids de NTK organique particulaire absorbé</v>
          </cell>
          <cell r="C284" t="str">
            <v>Absorbed particular organic TKN load</v>
          </cell>
          <cell r="D284" t="str">
            <v>Flujo de NTK organico absorbado</v>
          </cell>
        </row>
        <row r="285">
          <cell r="A285" t="str">
            <v>m0307</v>
          </cell>
          <cell r="B285" t="str">
            <v>soit % de NTK assimilé par rapport à la DBO</v>
          </cell>
          <cell r="C285" t="str">
            <v>so % of assimilated NTK / inlet BOD</v>
          </cell>
          <cell r="D285" t="str">
            <v>es decir % de NTK asimilado / DBO</v>
          </cell>
        </row>
        <row r="286">
          <cell r="A286" t="str">
            <v>m0308</v>
          </cell>
          <cell r="B286" t="str">
            <v>Poids d'azote NTK consommé par assimilation</v>
          </cell>
          <cell r="C286" t="str">
            <v>Consummate TKN load by assimilation</v>
          </cell>
          <cell r="D286" t="str">
            <v>Flujo de NTK eliminado por asimilación</v>
          </cell>
        </row>
        <row r="287">
          <cell r="A287" t="str">
            <v>m0308a</v>
          </cell>
          <cell r="B287" t="str">
            <v>Concentration en N-NH4 résiduel</v>
          </cell>
          <cell r="C287" t="str">
            <v>Residual NH4-N concentration</v>
          </cell>
          <cell r="D287" t="str">
            <v>Concentración de N-NH4 residual</v>
          </cell>
        </row>
        <row r="288">
          <cell r="A288" t="str">
            <v>m0308b</v>
          </cell>
          <cell r="B288" t="str">
            <v>Poids N-NH4 restant après nitrification</v>
          </cell>
          <cell r="C288" t="str">
            <v>Remaining NH4-N after nitrification</v>
          </cell>
          <cell r="D288" t="str">
            <v>Flujo de N-NH4 quedando despues nitrificación</v>
          </cell>
        </row>
        <row r="289">
          <cell r="A289" t="str">
            <v>m0309</v>
          </cell>
          <cell r="B289" t="str">
            <v>Poids d'azote nitrifié en N-NO3</v>
          </cell>
          <cell r="C289" t="str">
            <v>NO3-N nitrified load</v>
          </cell>
          <cell r="D289" t="str">
            <v>Flujo de N nitrificado en N-NO3</v>
          </cell>
        </row>
        <row r="290">
          <cell r="A290" t="str">
            <v>m0310</v>
          </cell>
          <cell r="B290" t="str">
            <v>sans dénitrification, le rejet en N-NO3 serait de :</v>
          </cell>
          <cell r="C290" t="str">
            <v>Without denitrification, the discharge would be …</v>
          </cell>
          <cell r="D290" t="str">
            <v>sin denitrificación, la conc de N-NO3 sería de :</v>
          </cell>
        </row>
        <row r="291">
          <cell r="A291" t="str">
            <v>m0310a</v>
          </cell>
          <cell r="B291" t="str">
            <v>DN inutile</v>
          </cell>
          <cell r="C291" t="str">
            <v>DN useless</v>
          </cell>
          <cell r="D291" t="str">
            <v>DN inútil</v>
          </cell>
        </row>
        <row r="292">
          <cell r="A292" t="str">
            <v>m0310b</v>
          </cell>
          <cell r="B292" t="str">
            <v>DN nécessaire</v>
          </cell>
          <cell r="C292" t="str">
            <v>DN necessary</v>
          </cell>
          <cell r="D292" t="str">
            <v>DN necesaria</v>
          </cell>
        </row>
        <row r="293">
          <cell r="A293" t="str">
            <v>m0310c</v>
          </cell>
          <cell r="B293" t="str">
            <v>déficit de N !</v>
          </cell>
          <cell r="C293" t="str">
            <v>lack of N !</v>
          </cell>
          <cell r="D293" t="str">
            <v>falta de N !</v>
          </cell>
        </row>
        <row r="294">
          <cell r="A294" t="str">
            <v>m0311</v>
          </cell>
          <cell r="B294" t="str">
            <v>Volume du bassin aéré</v>
          </cell>
          <cell r="C294" t="str">
            <v>Aerated tank volume</v>
          </cell>
          <cell r="D294" t="str">
            <v>Volumen de la zona oxígenada</v>
          </cell>
        </row>
        <row r="295">
          <cell r="A295" t="str">
            <v>m0312</v>
          </cell>
          <cell r="B295" t="str">
            <v>Cinétique de nitrification maxi (g N-NH4/kgMV/h)</v>
          </cell>
          <cell r="C295" t="str">
            <v>Maxi nitrification kinetic (g NH4-N/kgVS/h)</v>
          </cell>
          <cell r="D295" t="str">
            <v>Cinética de nitrificación maxi (g N-NH4/kgSV/h)</v>
          </cell>
        </row>
        <row r="296">
          <cell r="A296" t="str">
            <v>m0313</v>
          </cell>
          <cell r="B296" t="str">
            <v>Cinétique globale de nitrification (g N-NH4/kgMV/h)</v>
          </cell>
          <cell r="C296" t="str">
            <v>Nitrification global kinetic (g NH4-N/kgVS/h)</v>
          </cell>
          <cell r="D296" t="str">
            <v>Cinética global de nitrificación (g N-NH4/kgSV/h)</v>
          </cell>
        </row>
        <row r="297">
          <cell r="A297" t="str">
            <v>m0314</v>
          </cell>
          <cell r="B297" t="str">
            <v>V trop faible !!</v>
          </cell>
          <cell r="C297" t="str">
            <v>SRT too low !!</v>
          </cell>
          <cell r="D297" t="str">
            <v>V muy bajo !</v>
          </cell>
        </row>
        <row r="298">
          <cell r="A298" t="str">
            <v>m0315</v>
          </cell>
          <cell r="B298" t="str">
            <v>élim. carbone incomplète !</v>
          </cell>
          <cell r="C298" t="str">
            <v>C removal incomplete !</v>
          </cell>
          <cell r="D298" t="str">
            <v>eliminación de C incompleto !</v>
          </cell>
        </row>
        <row r="299">
          <cell r="A299" t="str">
            <v>m0316</v>
          </cell>
          <cell r="B299" t="str">
            <v>Situation vis à vis de la cinétique de nitrification …</v>
          </cell>
          <cell r="C299" t="str">
            <v>Situation regarding nitrification kinetic …</v>
          </cell>
          <cell r="D299" t="str">
            <v>Situación segun cinética de nitrificación …</v>
          </cell>
        </row>
        <row r="300">
          <cell r="A300" t="str">
            <v>m0317</v>
          </cell>
          <cell r="B300" t="str">
            <v>limitante !!</v>
          </cell>
          <cell r="C300" t="str">
            <v>limited !!</v>
          </cell>
          <cell r="D300" t="str">
            <v>limitante !!</v>
          </cell>
        </row>
        <row r="301">
          <cell r="A301" t="str">
            <v>m0318</v>
          </cell>
          <cell r="B301" t="str">
            <v>non limitante</v>
          </cell>
          <cell r="C301" t="str">
            <v>OK</v>
          </cell>
          <cell r="D301" t="str">
            <v>OK</v>
          </cell>
        </row>
        <row r="302">
          <cell r="A302" t="str">
            <v>m0319</v>
          </cell>
          <cell r="B302" t="str">
            <v>Attention, ajout de réactif pour bilan alcalinité …</v>
          </cell>
          <cell r="C302" t="str">
            <v>Take care, adition of reagent for alcalinity balance …</v>
          </cell>
          <cell r="D302" t="str">
            <v>Atencion, adicion de reactivos para el balance de alcalinidad …</v>
          </cell>
        </row>
        <row r="303">
          <cell r="A303" t="str">
            <v>m0320</v>
          </cell>
          <cell r="B303" t="str">
            <v>nécessaire !</v>
          </cell>
          <cell r="C303" t="str">
            <v>necessary !</v>
          </cell>
          <cell r="D303" t="str">
            <v>necesaria !</v>
          </cell>
        </row>
        <row r="304">
          <cell r="A304" t="str">
            <v>m0321</v>
          </cell>
          <cell r="B304" t="str">
            <v>Rappel conc N-NO3 maxi à l'entrée du clarificateur</v>
          </cell>
          <cell r="C304" t="str">
            <v>Remind, max NO3-N conc at clarifier inlet</v>
          </cell>
          <cell r="D304" t="str">
            <v>Recuerdo, con N-NO3 maxi en la entrada del clarificador</v>
          </cell>
        </row>
        <row r="305">
          <cell r="A305" t="str">
            <v>m0322</v>
          </cell>
        </row>
        <row r="306">
          <cell r="A306" t="str">
            <v>m0323</v>
          </cell>
        </row>
        <row r="307">
          <cell r="A307" t="str">
            <v>m0324</v>
          </cell>
        </row>
        <row r="308">
          <cell r="A308" t="str">
            <v>m0325</v>
          </cell>
        </row>
        <row r="309">
          <cell r="A309" t="str">
            <v>m0326</v>
          </cell>
        </row>
        <row r="310">
          <cell r="A310" t="str">
            <v>m0400</v>
          </cell>
          <cell r="B310" t="str">
            <v>Flux de N-NO3 à dénitrifier</v>
          </cell>
          <cell r="C310" t="str">
            <v>NO3-N load to be denitrified</v>
          </cell>
          <cell r="D310" t="str">
            <v>Flujo de N-NO3 a denitrificar</v>
          </cell>
        </row>
        <row r="311">
          <cell r="A311" t="str">
            <v>m0401</v>
          </cell>
          <cell r="B311" t="str">
            <v>Choisir trizone ou chenal séquencé</v>
          </cell>
          <cell r="C311" t="str">
            <v>Choose trizone or step aeration ditch</v>
          </cell>
          <cell r="D311" t="str">
            <v>Elejir trizona o canal de oxidación</v>
          </cell>
        </row>
        <row r="312">
          <cell r="A312" t="str">
            <v>m0402</v>
          </cell>
        </row>
        <row r="313">
          <cell r="A313" t="str">
            <v>m0403</v>
          </cell>
          <cell r="B313" t="str">
            <v>% de Nt dans les MES au rejet</v>
          </cell>
          <cell r="C313" t="str">
            <v>% of N in outlet TSS</v>
          </cell>
          <cell r="D313" t="str">
            <v>% de N asociado a los SS</v>
          </cell>
        </row>
        <row r="314">
          <cell r="A314" t="str">
            <v>m0404</v>
          </cell>
          <cell r="B314" t="str">
            <v>Poids d'azote Nt évacués avec les MES</v>
          </cell>
          <cell r="C314" t="str">
            <v>N load evacuated with TSS</v>
          </cell>
          <cell r="D314" t="str">
            <v>Flujo de N evacuado con los SS</v>
          </cell>
        </row>
        <row r="315">
          <cell r="A315" t="str">
            <v>m0405</v>
          </cell>
        </row>
        <row r="316">
          <cell r="A316" t="str">
            <v>m0406</v>
          </cell>
          <cell r="B316" t="str">
            <v>Conc NTK au rejet</v>
          </cell>
          <cell r="C316" t="str">
            <v>TKN conc at the outlet</v>
          </cell>
          <cell r="D316" t="str">
            <v>Conc NTKen el agua tratada</v>
          </cell>
        </row>
        <row r="317">
          <cell r="A317" t="str">
            <v>m0407</v>
          </cell>
          <cell r="B317" t="str">
            <v>Poids total d'azote Nt évacués au rejet</v>
          </cell>
          <cell r="C317" t="str">
            <v>Total N load evacuated at the outlet</v>
          </cell>
          <cell r="D317" t="str">
            <v>Flujo total de N evacuado en la salida</v>
          </cell>
        </row>
        <row r="318">
          <cell r="A318" t="str">
            <v>m0408</v>
          </cell>
          <cell r="B318" t="str">
            <v>N-NO3 évacué au rejet</v>
          </cell>
          <cell r="C318" t="str">
            <v>NO3-N evacuated at the outlet</v>
          </cell>
          <cell r="D318" t="str">
            <v>N-NO3 evacuado en el agua tratada</v>
          </cell>
        </row>
        <row r="319">
          <cell r="A319" t="str">
            <v>m0409</v>
          </cell>
          <cell r="B319" t="str">
            <v>Rappel rejet autorisé en NGL</v>
          </cell>
          <cell r="C319" t="str">
            <v>Remind of the total nitrogen outlet aim</v>
          </cell>
          <cell r="D319" t="str">
            <v>Recuerdo del objetivo en NGL</v>
          </cell>
        </row>
        <row r="320">
          <cell r="A320" t="str">
            <v>m0409b</v>
          </cell>
          <cell r="B320" t="str">
            <v>Objectif fixé de rejet en NGL …</v>
          </cell>
          <cell r="C320" t="str">
            <v>Aim fixed dor total nitrogen outlet</v>
          </cell>
          <cell r="D320" t="str">
            <v>Objectivo fijado de NGL ..</v>
          </cell>
        </row>
        <row r="321">
          <cell r="A321" t="str">
            <v>m0410</v>
          </cell>
          <cell r="B321" t="str">
            <v>Conc. maxi en N-NO3 au rejet</v>
          </cell>
          <cell r="C321" t="str">
            <v>Outlet NO3-N maxi conc</v>
          </cell>
          <cell r="D321" t="str">
            <v>Conc maxi en N-NO3 en el agua tratada</v>
          </cell>
        </row>
        <row r="322">
          <cell r="A322" t="str">
            <v>m0411</v>
          </cell>
          <cell r="B322" t="str">
            <v>Flux maxi en N-NO3 évacué au rejet</v>
          </cell>
          <cell r="C322" t="str">
            <v>Outlet NO3-N maxi load </v>
          </cell>
          <cell r="D322" t="str">
            <v>Flujo maxi en N-NO3 evacuado</v>
          </cell>
        </row>
        <row r="323">
          <cell r="A323" t="str">
            <v>m0412</v>
          </cell>
          <cell r="B323" t="str">
            <v>Flux N-NO3 dénitrifié dans zone pré-anox</v>
          </cell>
          <cell r="C323" t="str">
            <v>NO3-N load denitrified in pre anox</v>
          </cell>
          <cell r="D323" t="str">
            <v>Flujo de N-NO3 denitrificado en la zona pre-anóxica</v>
          </cell>
        </row>
        <row r="324">
          <cell r="A324" t="str">
            <v>m0413</v>
          </cell>
          <cell r="B324" t="str">
            <v>Rappel poids d'azote nitrifié en N-NO3</v>
          </cell>
          <cell r="C324" t="str">
            <v>Remind of nitrified NO3-N load</v>
          </cell>
          <cell r="D324" t="str">
            <v>Recuerdo de flujo de N nitrificado en N-NO3</v>
          </cell>
        </row>
        <row r="325">
          <cell r="A325" t="str">
            <v>m0413b</v>
          </cell>
          <cell r="B325" t="str">
            <v>Flux de N-NO3 dans l'eau brute</v>
          </cell>
          <cell r="C325" t="str">
            <v>NO3-N load in raw water</v>
          </cell>
          <cell r="D325" t="str">
            <v>Flujo N-NO3 in agua bruta</v>
          </cell>
        </row>
        <row r="326">
          <cell r="A326" t="str">
            <v>m0414</v>
          </cell>
          <cell r="B326" t="str">
            <v>Flux de N-NO3 à dénitrifier</v>
          </cell>
          <cell r="C326" t="str">
            <v>NO3-N load to be denitrified</v>
          </cell>
          <cell r="D326" t="str">
            <v>Flujo de N-NO3 a denitrificar</v>
          </cell>
        </row>
        <row r="327">
          <cell r="A327" t="str">
            <v>m0415</v>
          </cell>
          <cell r="B327" t="str">
            <v>Dénitrification</v>
          </cell>
          <cell r="C327" t="str">
            <v>Denitrification</v>
          </cell>
          <cell r="D327" t="str">
            <v>Denitrificación</v>
          </cell>
        </row>
        <row r="328">
          <cell r="A328" t="str">
            <v>m0415a</v>
          </cell>
          <cell r="B328" t="str">
            <v>Choix de la filière de dénitrification ….. :</v>
          </cell>
          <cell r="C328" t="str">
            <v>Choice of the denitrification configuration …..</v>
          </cell>
          <cell r="D328" t="str">
            <v>Elijo del tipo de denitrificación …..</v>
          </cell>
        </row>
        <row r="329">
          <cell r="A329" t="str">
            <v>m0415b</v>
          </cell>
          <cell r="B329" t="str">
            <v>Configuration retenue impossible !</v>
          </cell>
          <cell r="C329" t="str">
            <v>Chosen configuration impossible !</v>
          </cell>
          <cell r="D329" t="str">
            <v>Configuración elejida imposible !</v>
          </cell>
        </row>
        <row r="330">
          <cell r="A330" t="str">
            <v>m0415c</v>
          </cell>
          <cell r="B330" t="str">
            <v>Filière de dénitrification :</v>
          </cell>
          <cell r="C330" t="str">
            <v>Denitrification configuration :</v>
          </cell>
          <cell r="D330" t="str">
            <v>Tipo de denitrificación :</v>
          </cell>
        </row>
        <row r="331">
          <cell r="A331" t="str">
            <v>m0415d</v>
          </cell>
          <cell r="B331" t="str">
            <v>Dénitrification requise ?</v>
          </cell>
          <cell r="C331" t="str">
            <v>Denitrification required ?</v>
          </cell>
          <cell r="D331" t="str">
            <v>¿Denitrificación necessitada ?</v>
          </cell>
        </row>
        <row r="332">
          <cell r="A332" t="str">
            <v>m0415e</v>
          </cell>
          <cell r="B332" t="str">
            <v>Afficher tout le paragraphe dénitrification</v>
          </cell>
          <cell r="C332" t="str">
            <v>Show all the denitrification chapter</v>
          </cell>
          <cell r="D332" t="str">
            <v>Marcar el paragrafo denitrificación</v>
          </cell>
        </row>
        <row r="333">
          <cell r="A333" t="str">
            <v>m0416</v>
          </cell>
          <cell r="B333" t="str">
            <v>Equivalents N-NO3 apportés par la recirculation</v>
          </cell>
          <cell r="C333" t="str">
            <v>Equivalent NO3-N recirculated</v>
          </cell>
          <cell r="D333" t="str">
            <v>Equivalentes N-NO3 recirculados</v>
          </cell>
        </row>
        <row r="334">
          <cell r="A334" t="str">
            <v>m0417</v>
          </cell>
          <cell r="B334" t="str">
            <v>Cinétique de dénitrification</v>
          </cell>
          <cell r="C334" t="str">
            <v>Denitrification kinetic</v>
          </cell>
          <cell r="D334" t="str">
            <v>Cinética de denitrificación</v>
          </cell>
        </row>
        <row r="335">
          <cell r="A335" t="str">
            <v>m0418</v>
          </cell>
          <cell r="B335" t="str">
            <v>Cinétique exogène (g N-NO3/kgMV.h)</v>
          </cell>
          <cell r="C335" t="str">
            <v>Exogenous kinetic (g NO3-N/kgVS.h)</v>
          </cell>
          <cell r="D335" t="str">
            <v>Cinética exogena</v>
          </cell>
        </row>
        <row r="336">
          <cell r="A336" t="str">
            <v>m0419</v>
          </cell>
          <cell r="B336" t="str">
            <v>Cinétique endogène (g N-NO3/kgMV.h)</v>
          </cell>
          <cell r="C336" t="str">
            <v>Endogenous kinetic (g NO3-N/kgVS.h)</v>
          </cell>
          <cell r="D336" t="str">
            <v>Cinética endogena</v>
          </cell>
        </row>
        <row r="337">
          <cell r="A337" t="str">
            <v>m0420</v>
          </cell>
          <cell r="B337" t="str">
            <v>Carbone facilement assimilable</v>
          </cell>
          <cell r="C337" t="str">
            <v>Easily assimilated carbon</v>
          </cell>
          <cell r="D337" t="str">
            <v>Carbono facilmente asimilable</v>
          </cell>
        </row>
        <row r="338">
          <cell r="A338" t="str">
            <v>m0421</v>
          </cell>
          <cell r="B338" t="str">
            <v>Conc en O2 dissous dans l'eau entrée biologique</v>
          </cell>
          <cell r="C338" t="str">
            <v>Disolved O2 conc in inlet water</v>
          </cell>
          <cell r="D338" t="str">
            <v>Conc en O2 disolvado en la entrada del biológico</v>
          </cell>
        </row>
        <row r="339">
          <cell r="A339" t="str">
            <v>m0422</v>
          </cell>
          <cell r="B339" t="str">
            <v>Configuration Anoxie en tête </v>
          </cell>
          <cell r="C339" t="str">
            <v>Configuration with Anoxic Zone</v>
          </cell>
          <cell r="D339" t="str">
            <v>Configuracion con Zona Anóxica </v>
          </cell>
        </row>
        <row r="340">
          <cell r="A340" t="str">
            <v>m0422a</v>
          </cell>
          <cell r="B340" t="str">
            <v>Zone Anoxie</v>
          </cell>
          <cell r="C340" t="str">
            <v>Anoxic Zone  </v>
          </cell>
          <cell r="D340" t="str">
            <v>Zona Anóxica   </v>
          </cell>
        </row>
        <row r="341">
          <cell r="A341" t="str">
            <v>m0423</v>
          </cell>
          <cell r="B341" t="str">
            <v>Vitesse de dénitrification globale (g N-NO3/kgMV/h)</v>
          </cell>
          <cell r="C341" t="str">
            <v>Global denitrification kinetic ( g NO3-N/kgVS/h)</v>
          </cell>
          <cell r="D341" t="str">
            <v>Velocidad de denitrificacion global ( g N-NO3/kg MV/h)</v>
          </cell>
        </row>
        <row r="342">
          <cell r="A342" t="str">
            <v>m0424</v>
          </cell>
        </row>
        <row r="343">
          <cell r="A343" t="str">
            <v>m0425</v>
          </cell>
          <cell r="B343" t="str">
            <v>% de DBO facilement assimilable entrée bio</v>
          </cell>
          <cell r="C343" t="str">
            <v>Easily assimilated BOD rate at biol inlet</v>
          </cell>
          <cell r="D343" t="str">
            <v>% de DBO facilmente asimilable entrada bio</v>
          </cell>
        </row>
        <row r="344">
          <cell r="A344" t="str">
            <v>m0425a</v>
          </cell>
          <cell r="B344" t="str">
            <v>DBO consommée par O2 dissous eau brute</v>
          </cell>
          <cell r="C344" t="str">
            <v>BOD used by dissolved O2 in raw water</v>
          </cell>
          <cell r="D344" t="str">
            <v>DBO utilizada por el O2 disolvado en agua bruta</v>
          </cell>
        </row>
        <row r="345">
          <cell r="A345" t="str">
            <v>m0425b</v>
          </cell>
          <cell r="B345" t="str">
            <v>DBO consommée par N-NO3 eau brute</v>
          </cell>
          <cell r="C345" t="str">
            <v>BOD used by NO3-N in raw water</v>
          </cell>
          <cell r="D345" t="str">
            <v>DBO utilizada por el N-NO3 agua bruta</v>
          </cell>
        </row>
        <row r="346">
          <cell r="A346" t="str">
            <v>m0425c</v>
          </cell>
          <cell r="B346" t="str">
            <v>DBO consommée en pré-anoxie</v>
          </cell>
          <cell r="C346" t="str">
            <v>BOD used in pre-anoxic zone</v>
          </cell>
          <cell r="D346" t="str">
            <v>DBO utilizada en zona pre-anóxica</v>
          </cell>
        </row>
        <row r="347">
          <cell r="A347" t="str">
            <v>m0425d</v>
          </cell>
          <cell r="B347" t="str">
            <v>% de DBO facilement assimilable pour la DN</v>
          </cell>
          <cell r="C347" t="str">
            <v>Easily assimilated BOD rate for DN</v>
          </cell>
          <cell r="D347" t="str">
            <v>% de DBO facilmente asimilable para DN</v>
          </cell>
        </row>
        <row r="348">
          <cell r="A348" t="str">
            <v>m0426</v>
          </cell>
          <cell r="B348" t="str">
            <v>g DBO assimilable par g N-NO3 dénitrifié</v>
          </cell>
          <cell r="C348" t="str">
            <v>easily assimilated BOD per g NO3-N denitrified</v>
          </cell>
          <cell r="D348" t="str">
            <v>g DBO asimilable por g N-NO3 denitrificado</v>
          </cell>
        </row>
        <row r="349">
          <cell r="A349" t="str">
            <v>m0427</v>
          </cell>
          <cell r="B349" t="str">
            <v>Flux de N-NO3 dénitrifiable par la DBO</v>
          </cell>
          <cell r="C349" t="str">
            <v>Denitrified NO3-N load with BOD</v>
          </cell>
          <cell r="D349" t="str">
            <v>Flujo de N-NO3 que se puede denitrificar con la DBO</v>
          </cell>
        </row>
        <row r="350">
          <cell r="A350" t="str">
            <v>m0428</v>
          </cell>
          <cell r="B350" t="str">
            <v>Rappel flux N-NO3 à dénitrifier</v>
          </cell>
          <cell r="C350" t="str">
            <v>Remind of NO3-N load to be denitrified</v>
          </cell>
          <cell r="D350" t="str">
            <v>Recuerdo del flujo de N-NO3 a denitrificar</v>
          </cell>
        </row>
        <row r="351">
          <cell r="A351" t="str">
            <v>m0429</v>
          </cell>
          <cell r="B351" t="str">
            <v>DBO limitante ….</v>
          </cell>
          <cell r="C351" t="str">
            <v>limiting BOD ...</v>
          </cell>
          <cell r="D351" t="str">
            <v>DBO limitante…</v>
          </cell>
        </row>
        <row r="352">
          <cell r="A352" t="str">
            <v>m0430</v>
          </cell>
          <cell r="B352" t="str">
            <v>oui !!</v>
          </cell>
          <cell r="C352" t="str">
            <v>yes !!</v>
          </cell>
          <cell r="D352" t="str">
            <v>sí !!</v>
          </cell>
        </row>
        <row r="353">
          <cell r="A353" t="str">
            <v>m0431</v>
          </cell>
          <cell r="B353" t="str">
            <v>non </v>
          </cell>
          <cell r="C353" t="str">
            <v>no</v>
          </cell>
          <cell r="D353" t="str">
            <v>no</v>
          </cell>
        </row>
        <row r="354">
          <cell r="A354" t="str">
            <v>m0432</v>
          </cell>
          <cell r="B354" t="str">
            <v>limite !</v>
          </cell>
          <cell r="C354" t="str">
            <v>just !</v>
          </cell>
          <cell r="D354" t="str">
            <v>límite</v>
          </cell>
        </row>
        <row r="355">
          <cell r="A355" t="str">
            <v>m0433</v>
          </cell>
          <cell r="B355" t="str">
            <v>Détermination du volume anoxique</v>
          </cell>
          <cell r="C355" t="str">
            <v>Anoxic volume design</v>
          </cell>
          <cell r="D355" t="str">
            <v>Determinación del volumen anóxico</v>
          </cell>
        </row>
        <row r="356">
          <cell r="A356" t="str">
            <v>m0434</v>
          </cell>
          <cell r="B356" t="str">
            <v>V mini pour le respect de l'objectif N-NO3</v>
          </cell>
          <cell r="C356" t="str">
            <v>V mini to respect the NO3-N outlet</v>
          </cell>
          <cell r="D356" t="str">
            <v>V mini para el respeto del objetivo en N-NO3</v>
          </cell>
        </row>
        <row r="357">
          <cell r="A357" t="str">
            <v>m0435</v>
          </cell>
          <cell r="B357" t="str">
            <v>V maxi vis à vis de la cinétique</v>
          </cell>
          <cell r="C357" t="str">
            <v>V maxi in relation to kinetic</v>
          </cell>
          <cell r="D357" t="str">
            <v>V maxi segun la cinética</v>
          </cell>
        </row>
        <row r="358">
          <cell r="A358" t="str">
            <v>m0436</v>
          </cell>
          <cell r="B358" t="str">
            <v>Potentiel de DN vis à vis de la disponibilité de DBO</v>
          </cell>
          <cell r="C358" t="str">
            <v>DN potential in relation to BOD available</v>
          </cell>
          <cell r="D358" t="str">
            <v>Potencial de DN segun la disponibilidad de DBO</v>
          </cell>
        </row>
        <row r="359">
          <cell r="A359" t="str">
            <v>m0437</v>
          </cell>
          <cell r="B359" t="str">
            <v>Volume retenu pour la zone Anoxie</v>
          </cell>
          <cell r="C359" t="str">
            <v>Chosen volum for the anoxic zone</v>
          </cell>
          <cell r="D359" t="str">
            <v>Volumen retenido para la zona anóxica</v>
          </cell>
        </row>
        <row r="360">
          <cell r="A360" t="str">
            <v>m0438</v>
          </cell>
          <cell r="B360" t="str">
            <v>V trop petit !</v>
          </cell>
          <cell r="C360" t="str">
            <v>V too small !</v>
          </cell>
          <cell r="D360" t="str">
            <v>V muy bajo !</v>
          </cell>
        </row>
        <row r="361">
          <cell r="A361" t="str">
            <v>m0439</v>
          </cell>
          <cell r="B361" t="str">
            <v>prévoir Trizone</v>
          </cell>
          <cell r="C361" t="str">
            <v>chose Trizone</v>
          </cell>
          <cell r="D361" t="str">
            <v>prever Trizone</v>
          </cell>
        </row>
        <row r="362">
          <cell r="A362" t="str">
            <v>m0440</v>
          </cell>
          <cell r="B362" t="str">
            <v>ajout carbone</v>
          </cell>
          <cell r="C362" t="str">
            <v>carbone adition</v>
          </cell>
          <cell r="D362" t="str">
            <v>añadido de carbono</v>
          </cell>
        </row>
        <row r="363">
          <cell r="A363" t="str">
            <v>m0441</v>
          </cell>
        </row>
        <row r="364">
          <cell r="A364" t="str">
            <v>m0442</v>
          </cell>
          <cell r="B364" t="str">
            <v>Rapport volume Anoxie / volume total</v>
          </cell>
          <cell r="C364" t="str">
            <v>Anoxic volume / total volume ratio </v>
          </cell>
          <cell r="D364" t="str">
            <v>Relación volumen Anóxico/ volumen total</v>
          </cell>
        </row>
        <row r="365">
          <cell r="A365" t="str">
            <v>m0443</v>
          </cell>
          <cell r="B365" t="str">
            <v>Temps de séjour moyen en anoxie</v>
          </cell>
          <cell r="C365" t="str">
            <v>Retention time in anoxic</v>
          </cell>
          <cell r="D365" t="str">
            <v>Tiempo de retención medio en anóxica</v>
          </cell>
        </row>
        <row r="366">
          <cell r="A366" t="str">
            <v>m0444</v>
          </cell>
          <cell r="B366" t="str">
            <v>Recirculation de liqueur mixte</v>
          </cell>
          <cell r="C366" t="str">
            <v>Mixed liquor recirculation</v>
          </cell>
          <cell r="D366" t="str">
            <v>Recirculacion de liquor mixta</v>
          </cell>
        </row>
        <row r="367">
          <cell r="A367" t="str">
            <v>m0445</v>
          </cell>
          <cell r="B367" t="str">
            <v>Ce volume permet de dénitrifier le flux de N-NO3 :</v>
          </cell>
          <cell r="C367" t="str">
            <v>This volume can denitrify this NO3-N load :</v>
          </cell>
          <cell r="D367" t="str">
            <v>Este volumen permite denitrificar el flujo de N-NO3:</v>
          </cell>
        </row>
        <row r="368">
          <cell r="A368" t="str">
            <v>m0446</v>
          </cell>
          <cell r="B368" t="str">
            <v>Flux théorique de N-NO3 restant après dénitrification</v>
          </cell>
          <cell r="C368" t="str">
            <v>Theorical NO3-N load remaining after denitrification</v>
          </cell>
          <cell r="D368" t="str">
            <v>Flujo de N-NO3 teorico quedando despues denitrificación</v>
          </cell>
        </row>
        <row r="369">
          <cell r="A369" t="str">
            <v>m0446a</v>
          </cell>
          <cell r="B369" t="str">
            <v>Concentration N-NO3 recirculée dans LM retenue</v>
          </cell>
          <cell r="C369" t="str">
            <v>Chosen NO3-N conc recirculated in ML </v>
          </cell>
          <cell r="D369" t="str">
            <v>Conc N-NO3 recirculado con la LM prevista</v>
          </cell>
        </row>
        <row r="370">
          <cell r="A370" t="str">
            <v>m0446b</v>
          </cell>
          <cell r="B370" t="str">
            <v>Flux N-NO3 recirculé par les boues</v>
          </cell>
          <cell r="C370" t="str">
            <v>NO3-N load recirculated with sludge</v>
          </cell>
          <cell r="D370" t="str">
            <v>Flujo de N-NO3 recirculado con los fangos</v>
          </cell>
        </row>
        <row r="371">
          <cell r="A371" t="str">
            <v>m0446c</v>
          </cell>
          <cell r="B371" t="str">
            <v>Flux N-NO3 à recirculer par les LM</v>
          </cell>
          <cell r="C371" t="str">
            <v>NO3-N load to be recirculated with ML</v>
          </cell>
          <cell r="D371" t="str">
            <v>Flujo de N-NO3 a recircular con las LM</v>
          </cell>
        </row>
        <row r="372">
          <cell r="A372" t="str">
            <v>m0446d</v>
          </cell>
          <cell r="B372" t="str">
            <v>Concentration N-NO3 recirculée dans LM théorique</v>
          </cell>
          <cell r="C372" t="str">
            <v>Theorical NO3-N conc recirculated in ML</v>
          </cell>
          <cell r="D372" t="str">
            <v>Conc N-NO3 recirculado con la LM teorica</v>
          </cell>
        </row>
        <row r="373">
          <cell r="A373" t="str">
            <v>m0446e</v>
          </cell>
          <cell r="B373" t="str">
            <v>incohérent !</v>
          </cell>
          <cell r="C373" t="str">
            <v>incoherent !</v>
          </cell>
          <cell r="D373" t="str">
            <v>incoherente !</v>
          </cell>
        </row>
        <row r="374">
          <cell r="A374" t="str">
            <v>m0447</v>
          </cell>
          <cell r="B374" t="str">
            <v>Taux de recirculation de LM à prévoir</v>
          </cell>
          <cell r="C374" t="str">
            <v>ML recirculation rate necessary</v>
          </cell>
          <cell r="D374" t="str">
            <v>Porcentaje de recirculación de LM a prever</v>
          </cell>
        </row>
        <row r="375">
          <cell r="A375" t="str">
            <v>m0448</v>
          </cell>
          <cell r="B375" t="str">
            <v>Taux de recirculation de LM retenu</v>
          </cell>
          <cell r="C375" t="str">
            <v>ML recirculation rate chosen</v>
          </cell>
          <cell r="D375" t="str">
            <v>Porcentaje de recirculación de LM elejido</v>
          </cell>
        </row>
        <row r="376">
          <cell r="A376" t="str">
            <v>m0448a</v>
          </cell>
          <cell r="B376" t="str">
            <v>taux trop fort !!</v>
          </cell>
          <cell r="C376" t="str">
            <v>too high rate !!</v>
          </cell>
          <cell r="D376" t="str">
            <v>% muy fuerte !!</v>
          </cell>
        </row>
        <row r="377">
          <cell r="A377" t="str">
            <v>m0449</v>
          </cell>
          <cell r="B377" t="str">
            <v>Flux N-NO3 réellement recirculé</v>
          </cell>
          <cell r="C377" t="str">
            <v>NO3-N load really recirculated</v>
          </cell>
          <cell r="D377" t="str">
            <v>Flujo de N-NO3 realmente recirculado</v>
          </cell>
        </row>
        <row r="378">
          <cell r="A378" t="str">
            <v>m0449a</v>
          </cell>
          <cell r="B378" t="str">
            <v>Flux effectif dénitrifié en anoxie</v>
          </cell>
          <cell r="C378" t="str">
            <v>Really denitrificated load in anoxic zone</v>
          </cell>
          <cell r="D378" t="str">
            <v>Flujo efectivamente denitrificado en anóxica</v>
          </cell>
        </row>
        <row r="379">
          <cell r="A379" t="str">
            <v>m0450</v>
          </cell>
          <cell r="B379" t="str">
            <v>Conc N-NO3 en sortie de la zone anoxie</v>
          </cell>
          <cell r="C379" t="str">
            <v>NO3-N conc at anoxic zone outlet</v>
          </cell>
          <cell r="D379" t="str">
            <v>Conc N-NO3 en salida de la zona anóxica</v>
          </cell>
        </row>
        <row r="380">
          <cell r="A380" t="str">
            <v>m0451</v>
          </cell>
          <cell r="B380" t="str">
            <v>Rejet NGL en sortie de la zone anoxie</v>
          </cell>
          <cell r="C380" t="str">
            <v>Total nitrogen conc at anoxic zone outlet</v>
          </cell>
          <cell r="D380" t="str">
            <v>Salida en NGL en salida de la zona anóxica</v>
          </cell>
        </row>
        <row r="381">
          <cell r="A381" t="str">
            <v>m0452</v>
          </cell>
          <cell r="B381" t="str">
            <v>objectif !!!</v>
          </cell>
          <cell r="C381" t="str">
            <v>discharge !</v>
          </cell>
          <cell r="D381" t="str">
            <v>objetivo !!</v>
          </cell>
        </row>
        <row r="382">
          <cell r="A382" t="str">
            <v>m0453</v>
          </cell>
          <cell r="B382" t="str">
            <v>Taux de recirculation global (avec recirc boue)</v>
          </cell>
          <cell r="C382" t="str">
            <v>Global recirculation rate (with sludge recirc)</v>
          </cell>
          <cell r="D382" t="str">
            <v>Porcentaje de recirculación global (con recirc lodos)</v>
          </cell>
        </row>
        <row r="383">
          <cell r="A383" t="str">
            <v>m0454</v>
          </cell>
          <cell r="B383" t="str">
            <v>Réel potentiel de dénitrification </v>
          </cell>
          <cell r="C383" t="str">
            <v>Denitrification real potential</v>
          </cell>
          <cell r="D383" t="str">
            <v>Real potencial de denitrificación</v>
          </cell>
        </row>
        <row r="384">
          <cell r="A384" t="str">
            <v>m0455</v>
          </cell>
          <cell r="B384" t="str">
            <v>Zone Anoxique requise avant la zone Endogène</v>
          </cell>
          <cell r="C384" t="str">
            <v>Anoxic zone required before Endogenous zone</v>
          </cell>
          <cell r="D384" t="str">
            <v>Zona Anóxica necesaria antes de la zona endogena</v>
          </cell>
        </row>
        <row r="385">
          <cell r="A385" t="str">
            <v>m0456</v>
          </cell>
          <cell r="B385" t="str">
            <v>Ajout d'une zone endogène …</v>
          </cell>
          <cell r="C385" t="str">
            <v>Adition of an endogenous zone</v>
          </cell>
          <cell r="D385" t="str">
            <v>Añadido de una zona endogena…</v>
          </cell>
        </row>
        <row r="386">
          <cell r="A386" t="str">
            <v>m0457</v>
          </cell>
          <cell r="B386" t="str">
            <v>nécessaire</v>
          </cell>
          <cell r="C386" t="str">
            <v>necessary</v>
          </cell>
          <cell r="D386" t="str">
            <v>necesaria</v>
          </cell>
        </row>
        <row r="387">
          <cell r="A387" t="str">
            <v>m0458</v>
          </cell>
          <cell r="B387" t="str">
            <v>inutile</v>
          </cell>
          <cell r="C387" t="str">
            <v>useless</v>
          </cell>
          <cell r="D387" t="str">
            <v>inútil</v>
          </cell>
        </row>
        <row r="388">
          <cell r="A388" t="str">
            <v>m0459</v>
          </cell>
          <cell r="B388" t="str">
            <v>Zone endogène (Trizone : A.O.E.)</v>
          </cell>
          <cell r="C388" t="str">
            <v>Endogenous zone (trizone A.O.E.)</v>
          </cell>
          <cell r="D388" t="str">
            <v>Zona endogena (trizona A.O.E.)</v>
          </cell>
        </row>
        <row r="389">
          <cell r="A389" t="str">
            <v>m0459b</v>
          </cell>
          <cell r="B389" t="str">
            <v>Trizone : Anoxie.Oxy.Endo.</v>
          </cell>
          <cell r="C389" t="str">
            <v>Trizone Anoxic.Oxic.Endo.</v>
          </cell>
          <cell r="D389" t="str">
            <v>Trizona Anox.Oxí. Endo</v>
          </cell>
        </row>
        <row r="390">
          <cell r="A390" t="str">
            <v>m0460</v>
          </cell>
          <cell r="B390" t="str">
            <v>Flux de N-NO3 à dénitrifier en endogène</v>
          </cell>
          <cell r="C390" t="str">
            <v>NO3-N load to denitrify in endogenous</v>
          </cell>
          <cell r="D390" t="str">
            <v>Flujo de N-NO3 a denitrificar en endogena</v>
          </cell>
        </row>
        <row r="391">
          <cell r="A391" t="str">
            <v>m0461</v>
          </cell>
          <cell r="B391" t="str">
            <v>Vitesse de DN endogène (g N-NO3/kgMV/h)</v>
          </cell>
          <cell r="C391" t="str">
            <v>Endogenous denitrification kinetic (g NO3-N/kgVS/h)</v>
          </cell>
          <cell r="D391" t="str">
            <v>Velicidad de DN endogena (g N-NO3/kgVS/h)</v>
          </cell>
        </row>
        <row r="392">
          <cell r="A392" t="str">
            <v>m0462</v>
          </cell>
          <cell r="B392" t="str">
            <v>Volume endogène strict minimum (sur 24h)</v>
          </cell>
          <cell r="C392" t="str">
            <v>Minimum strict endogenous volume (on 24h)</v>
          </cell>
          <cell r="D392" t="str">
            <v>Volumen endogeno stricto minimum ( sobre 24h)</v>
          </cell>
        </row>
        <row r="393">
          <cell r="A393" t="str">
            <v>m0463</v>
          </cell>
          <cell r="B393" t="str">
            <v>Temps maxi de non aération</v>
          </cell>
          <cell r="C393" t="str">
            <v>Non aeration maxi time</v>
          </cell>
          <cell r="D393" t="str">
            <v>Tiempo maxi de no oxidación</v>
          </cell>
        </row>
        <row r="394">
          <cell r="A394" t="str">
            <v>m0464</v>
          </cell>
          <cell r="B394" t="str">
            <v>Volume endogène mini selon durée d'aération </v>
          </cell>
          <cell r="C394" t="str">
            <v>Endogenous volume calculated on aeration time</v>
          </cell>
          <cell r="D394" t="str">
            <v>Volumen endogeno mini segun duración de oxigenación</v>
          </cell>
        </row>
        <row r="395">
          <cell r="A395" t="str">
            <v>m0465</v>
          </cell>
          <cell r="B395" t="str">
            <v>Volume endogène retenu</v>
          </cell>
          <cell r="C395" t="str">
            <v>Chosen endogenous volume</v>
          </cell>
          <cell r="D395" t="str">
            <v>Volumen endogeno elejido</v>
          </cell>
        </row>
        <row r="396">
          <cell r="A396" t="str">
            <v>m0466</v>
          </cell>
          <cell r="B396" t="str">
            <v>Temps réel de non aération</v>
          </cell>
          <cell r="C396" t="str">
            <v>Real time of non aeration</v>
          </cell>
          <cell r="D396" t="str">
            <v>Tiempo rel de no oxidación</v>
          </cell>
        </row>
        <row r="397">
          <cell r="A397" t="str">
            <v>m0467</v>
          </cell>
          <cell r="B397" t="str">
            <v>T maxi = 16 h !</v>
          </cell>
          <cell r="C397" t="str">
            <v>maxi time = 16h!</v>
          </cell>
          <cell r="D397" t="str">
            <v>T maxi = 16h !</v>
          </cell>
        </row>
        <row r="398">
          <cell r="A398" t="str">
            <v>m0468</v>
          </cell>
          <cell r="B398" t="str">
            <v>Flux de N-NO3 dénitrifié en endogène</v>
          </cell>
          <cell r="C398" t="str">
            <v>NO3-N load denitrified in endogenous</v>
          </cell>
          <cell r="D398" t="str">
            <v>Flujo de N-NO3 denitrificado en endogena</v>
          </cell>
        </row>
        <row r="399">
          <cell r="A399" t="str">
            <v>m0469</v>
          </cell>
          <cell r="B399" t="str">
            <v>Conc N-NO3 en sortie du trizone</v>
          </cell>
          <cell r="C399" t="str">
            <v>NO3-N conc at trizone outlet</v>
          </cell>
          <cell r="D399" t="str">
            <v>Conc N-NO3 en la salida del trizona</v>
          </cell>
        </row>
        <row r="400">
          <cell r="A400" t="str">
            <v>m0469b</v>
          </cell>
          <cell r="B400" t="str">
            <v>Rejet NGL en sortie du trizone</v>
          </cell>
          <cell r="C400" t="str">
            <v>Total nitrogen conc at trizone outlet</v>
          </cell>
          <cell r="D400" t="str">
            <v>NGL en la salida del trizona</v>
          </cell>
        </row>
        <row r="401">
          <cell r="A401" t="str">
            <v>m0470</v>
          </cell>
          <cell r="B401" t="str">
            <v>Chenal séquencé A/O</v>
          </cell>
          <cell r="C401" t="str">
            <v>Step aeration ditch A/O</v>
          </cell>
          <cell r="D401" t="str">
            <v>Canal de oxidación sequencial</v>
          </cell>
        </row>
        <row r="402">
          <cell r="A402" t="str">
            <v>m0471</v>
          </cell>
          <cell r="B402" t="str">
            <v>Flux de N-NO3 à dénitrifier </v>
          </cell>
          <cell r="C402" t="str">
            <v>NO3-N load to denitrify  </v>
          </cell>
          <cell r="D402" t="str">
            <v>Flujo de N-NO3 a denitrificar  </v>
          </cell>
        </row>
        <row r="403">
          <cell r="A403" t="str">
            <v>m0472</v>
          </cell>
          <cell r="B403" t="str">
            <v>Vitesse de DN globale (g N-NO3/kgMV/h)</v>
          </cell>
          <cell r="C403" t="str">
            <v>Global DN kinetic ( g N-NO3/kg VS/h)</v>
          </cell>
          <cell r="D403" t="str">
            <v>Velicidad de DN global ( g N-NO3/kg VS/h)</v>
          </cell>
        </row>
        <row r="404">
          <cell r="A404" t="str">
            <v>m0472b</v>
          </cell>
          <cell r="B404" t="str">
            <v>Cinétique maximale (g N-NO3/kgMV/h):</v>
          </cell>
          <cell r="C404" t="str">
            <v>Maximum kinetic ( g N-NO3/kg VS/h)</v>
          </cell>
          <cell r="D404" t="str">
            <v>Cinetica maximal (g N-NO3/kg VS/h)</v>
          </cell>
        </row>
        <row r="405">
          <cell r="A405" t="str">
            <v>m0473</v>
          </cell>
          <cell r="B405" t="str">
            <v>Volume anoxique strict minimum (sur 24h)</v>
          </cell>
          <cell r="C405" t="str">
            <v>Minimum strict anoxic volume (on 24h)</v>
          </cell>
          <cell r="D405" t="str">
            <v>Volumen anoxico stricto minimum ( sobre 24h)</v>
          </cell>
        </row>
        <row r="406">
          <cell r="A406" t="str">
            <v>m0474</v>
          </cell>
          <cell r="B406" t="str">
            <v>Volume anoxique strict retenu</v>
          </cell>
          <cell r="C406" t="str">
            <v>Anoxic volume chosen</v>
          </cell>
          <cell r="D406" t="str">
            <v>Volumen anoxico stricto elejido</v>
          </cell>
        </row>
        <row r="407">
          <cell r="A407" t="str">
            <v>m0475</v>
          </cell>
          <cell r="B407" t="str">
            <v>soit Volume total du chenal </v>
          </cell>
          <cell r="C407" t="str">
            <v>so Total ditch volume </v>
          </cell>
          <cell r="D407" t="str">
            <v>entonces Volumen total del canal</v>
          </cell>
        </row>
        <row r="408">
          <cell r="A408" t="str">
            <v>m0475b</v>
          </cell>
          <cell r="B408" t="str">
            <v>Rapport Volume non aéré / Volume total</v>
          </cell>
          <cell r="C408" t="str">
            <v>Ratio unaerated volume / total volume</v>
          </cell>
          <cell r="D408" t="str">
            <v>Relación volumen sin oxidación / volumen total</v>
          </cell>
        </row>
        <row r="409">
          <cell r="A409" t="str">
            <v>m0475c</v>
          </cell>
          <cell r="B409" t="str">
            <v>Vérif du rapport maxi de volume non aéré</v>
          </cell>
          <cell r="C409" t="str">
            <v>Chekking of the maxi unaerated volume ratio</v>
          </cell>
          <cell r="D409" t="str">
            <v>Verif de la relación maxi de volumen sin oxidación</v>
          </cell>
        </row>
        <row r="410">
          <cell r="A410" t="str">
            <v>m0476</v>
          </cell>
          <cell r="B410" t="str">
            <v>Temps réel de non aération strict</v>
          </cell>
          <cell r="C410" t="str">
            <v>Real time of non aeration</v>
          </cell>
          <cell r="D410" t="str">
            <v>Tiempo real de no oxigenación </v>
          </cell>
        </row>
        <row r="411">
          <cell r="A411" t="str">
            <v>m0476a</v>
          </cell>
          <cell r="B411" t="str">
            <v>Flux de N-NO3 réellement dénitrifié</v>
          </cell>
          <cell r="C411" t="str">
            <v>NO3-N load really denitrified</v>
          </cell>
          <cell r="D411" t="str">
            <v>Flujo de N-NO3 realmente denitrificado</v>
          </cell>
        </row>
        <row r="412">
          <cell r="A412" t="str">
            <v>m0476b</v>
          </cell>
          <cell r="B412" t="str">
            <v>Cycle de marche de l'aération</v>
          </cell>
          <cell r="C412" t="str">
            <v>Aeration cycle</v>
          </cell>
          <cell r="D412" t="str">
            <v>Ciclo de funcionamiento del oxigenación</v>
          </cell>
        </row>
        <row r="413">
          <cell r="A413" t="str">
            <v>m0476c</v>
          </cell>
          <cell r="B413" t="str">
            <v>Nombre d'arrêts prévus</v>
          </cell>
          <cell r="C413" t="str">
            <v>Number of aeration stops </v>
          </cell>
          <cell r="D413" t="str">
            <v>Numeros de paradas del oxigenación</v>
          </cell>
        </row>
        <row r="414">
          <cell r="A414" t="str">
            <v>m0476d</v>
          </cell>
          <cell r="B414" t="str">
            <v>Durée de mise en anoxie à chaque cycle</v>
          </cell>
          <cell r="C414" t="str">
            <v>duration to be in anoxic conditions at each cycle</v>
          </cell>
          <cell r="D414" t="str">
            <v>Tiempo para estar en anoxica a cada ciclo</v>
          </cell>
        </row>
        <row r="415">
          <cell r="A415" t="str">
            <v>m0476e</v>
          </cell>
          <cell r="B415" t="str">
            <v>Temps réel d'aération</v>
          </cell>
          <cell r="C415" t="str">
            <v>Real duration of aeration</v>
          </cell>
          <cell r="D415" t="str">
            <v>Tiempo real de oxigenación</v>
          </cell>
        </row>
        <row r="416">
          <cell r="A416" t="str">
            <v>m0476f</v>
          </cell>
          <cell r="B416" t="str">
            <v>Flux de N-NO3 dénitrifiable par la DBO</v>
          </cell>
          <cell r="C416" t="str">
            <v>NO3-N load to be denitrified by BOD</v>
          </cell>
          <cell r="D416" t="str">
            <v>Flujo de N-NO3 que se puede denitrificar con la DBO</v>
          </cell>
        </row>
        <row r="417">
          <cell r="A417" t="str">
            <v>m0476g</v>
          </cell>
          <cell r="B417" t="str">
            <v>cinétique !!</v>
          </cell>
          <cell r="C417" t="str">
            <v>kinetic !!</v>
          </cell>
          <cell r="D417" t="str">
            <v>cinética !!</v>
          </cell>
        </row>
        <row r="418">
          <cell r="A418" t="str">
            <v>m0476h</v>
          </cell>
          <cell r="B418" t="str">
            <v>Utilisation d'aérateurs de surface (sans agitateur) ?</v>
          </cell>
          <cell r="C418" t="str">
            <v>Surface aerators use (without mixer) ?</v>
          </cell>
          <cell r="D418" t="str">
            <v>Utilización d aeratores de superficie (sin agitador) ?</v>
          </cell>
        </row>
        <row r="419">
          <cell r="A419" t="str">
            <v>m0477</v>
          </cell>
          <cell r="B419" t="str">
            <v>V trop petit !</v>
          </cell>
          <cell r="C419" t="str">
            <v>V too small !</v>
          </cell>
          <cell r="D419" t="str">
            <v>V muy bajo !</v>
          </cell>
        </row>
        <row r="420">
          <cell r="A420" t="str">
            <v>m0478</v>
          </cell>
          <cell r="B420" t="str">
            <v>Conc N-NO3 en sortie du chenal</v>
          </cell>
          <cell r="C420" t="str">
            <v>NO3-N conc at ditch outlet</v>
          </cell>
          <cell r="D420" t="str">
            <v>Conc N-NO3 en la salida del canal</v>
          </cell>
        </row>
        <row r="421">
          <cell r="A421" t="str">
            <v>m0479</v>
          </cell>
          <cell r="B421" t="str">
            <v>Rejet NGL en sortie du chenal</v>
          </cell>
          <cell r="C421" t="str">
            <v>NGL at ditch outlet</v>
          </cell>
          <cell r="D421" t="str">
            <v>NGL en la salida del canal</v>
          </cell>
        </row>
        <row r="422">
          <cell r="A422" t="str">
            <v>m0480</v>
          </cell>
          <cell r="B422" t="str">
            <v>Zone de pré-anoxie</v>
          </cell>
          <cell r="C422" t="str">
            <v>Pre-anoxic zone  </v>
          </cell>
          <cell r="D422" t="str">
            <v>Zona pre-anoxica</v>
          </cell>
        </row>
        <row r="423">
          <cell r="A423" t="str">
            <v>m0481</v>
          </cell>
          <cell r="B423" t="str">
            <v>Ajout d'une zone de pré-anoxie pour la consommation du N-NO3 recirculé pouvant </v>
          </cell>
          <cell r="C423" t="str">
            <v>Pre-anoxic zone adition for recirculated NO3-N elimination which could</v>
          </cell>
          <cell r="D423" t="str">
            <v>Añadido de una zona de pre-anoxica para el consumo de los N-NO3 recirculados que pueden</v>
          </cell>
        </row>
        <row r="424">
          <cell r="A424" t="str">
            <v>m0481a</v>
          </cell>
          <cell r="B424" t="str">
            <v>perburber la déphosphatation biologique</v>
          </cell>
          <cell r="C424" t="str">
            <v>disrupt the biological P removal</v>
          </cell>
          <cell r="D424" t="str">
            <v>perturbar la defosfatación biológica</v>
          </cell>
        </row>
        <row r="425">
          <cell r="A425" t="str">
            <v>m0482</v>
          </cell>
          <cell r="B425" t="str">
            <v>Conc N-NO3 dans la recirculation des boues</v>
          </cell>
          <cell r="C425" t="str">
            <v>NO3-N conc in sludge recirculation</v>
          </cell>
          <cell r="D425" t="str">
            <v>Vconc N-NO3 en la recirculación de fangos</v>
          </cell>
        </row>
        <row r="426">
          <cell r="A426" t="str">
            <v>m0483</v>
          </cell>
          <cell r="B426" t="str">
            <v>V indépendant</v>
          </cell>
          <cell r="C426" t="str">
            <v>independant V</v>
          </cell>
          <cell r="D426" t="str">
            <v>V independente</v>
          </cell>
        </row>
        <row r="427">
          <cell r="A427" t="str">
            <v>m0484</v>
          </cell>
          <cell r="B427" t="str">
            <v>V intégré</v>
          </cell>
          <cell r="C427" t="str">
            <v>integrated V</v>
          </cell>
          <cell r="D427" t="str">
            <v>V incorporado</v>
          </cell>
        </row>
        <row r="428">
          <cell r="A428" t="str">
            <v>m0485</v>
          </cell>
          <cell r="B428" t="str">
            <v>Alimentation en eau brute de la pré-anoxie optimale</v>
          </cell>
          <cell r="C428" t="str">
            <v>Raw water optimum feeding of pre-anoxic zone </v>
          </cell>
          <cell r="D428" t="str">
            <v>Alimentación de la pre-anóxica en agua bruta optimal</v>
          </cell>
        </row>
        <row r="429">
          <cell r="A429" t="str">
            <v>m0486</v>
          </cell>
          <cell r="B429" t="str">
            <v>Alimentation en eau brute de la pré-anoxie retenue</v>
          </cell>
          <cell r="C429" t="str">
            <v>Chosen raw water feeding of pre-anoxic zone </v>
          </cell>
          <cell r="D429" t="str">
            <v>Alimentación de la pre-anóxica en agua bruta elejida</v>
          </cell>
        </row>
        <row r="430">
          <cell r="A430" t="str">
            <v>m0487</v>
          </cell>
          <cell r="B430" t="str">
            <v>V trop petit !</v>
          </cell>
          <cell r="C430" t="str">
            <v>V too small !</v>
          </cell>
          <cell r="D430" t="str">
            <v>V muy bajo !</v>
          </cell>
        </row>
        <row r="431">
          <cell r="A431" t="str">
            <v>m0488</v>
          </cell>
          <cell r="B431" t="str">
            <v>Consommation de DBO facilement assimilable</v>
          </cell>
          <cell r="C431" t="str">
            <v>Easily assilimate BOD consumption</v>
          </cell>
          <cell r="D431" t="str">
            <v>Consumo de la DBO facilment asimilable</v>
          </cell>
        </row>
        <row r="432">
          <cell r="A432" t="str">
            <v>m0489</v>
          </cell>
          <cell r="B432" t="str">
            <v>Consommation de DCO facilement assimilable</v>
          </cell>
          <cell r="C432" t="str">
            <v>Easily assilimate COD consumption</v>
          </cell>
          <cell r="D432" t="str">
            <v>Consumo de la DQO facilment asimilable</v>
          </cell>
        </row>
        <row r="433">
          <cell r="A433" t="str">
            <v>m0490</v>
          </cell>
          <cell r="B433" t="str">
            <v>N-NO3 à dénitrifier</v>
          </cell>
          <cell r="C433" t="str">
            <v>NO3-N to be denitrify</v>
          </cell>
          <cell r="D433" t="str">
            <v>N-NO3 a denitrificar</v>
          </cell>
        </row>
        <row r="434">
          <cell r="A434" t="str">
            <v>m0491</v>
          </cell>
          <cell r="B434" t="str">
            <v>Cinétique de dénitrification (g N-NO3/kgMV/h)</v>
          </cell>
          <cell r="C434" t="str">
            <v>Denitrification kinetic (g NO3-N/kgVS/h)</v>
          </cell>
          <cell r="D434" t="str">
            <v>Cinética de denitrificación ( g N-NO3/kg VS/h)</v>
          </cell>
        </row>
        <row r="435">
          <cell r="A435" t="str">
            <v>m0492</v>
          </cell>
          <cell r="B435" t="str">
            <v>Volume de pré-anoxie minimum</v>
          </cell>
          <cell r="C435" t="str">
            <v>Minimum pre-anoxic volume</v>
          </cell>
          <cell r="D435" t="str">
            <v>Volumen de pre-anóxica minimum</v>
          </cell>
        </row>
        <row r="436">
          <cell r="A436" t="str">
            <v>m0493</v>
          </cell>
          <cell r="B436" t="str">
            <v>Volume de pré-anoxie retenu</v>
          </cell>
          <cell r="C436" t="str">
            <v>Chosen pre-anoxic volume</v>
          </cell>
          <cell r="D436" t="str">
            <v>Volumen de pre-anóxica retenido</v>
          </cell>
        </row>
        <row r="437">
          <cell r="A437" t="str">
            <v>m0494</v>
          </cell>
          <cell r="B437" t="str">
            <v>Flux N-NO3 réellement dénitrifié</v>
          </cell>
          <cell r="C437" t="str">
            <v>NO3-N load really denitrified</v>
          </cell>
          <cell r="D437" t="str">
            <v>Flujo de N-NO3 realmente denitrificado</v>
          </cell>
        </row>
        <row r="438">
          <cell r="A438" t="str">
            <v>m0495</v>
          </cell>
          <cell r="B438" t="str">
            <v>Concentration en MVS dans la pré-anoxie</v>
          </cell>
          <cell r="C438" t="str">
            <v>VSS concentration in pre-anoxic</v>
          </cell>
          <cell r="D438" t="str">
            <v>Conc en VS en la pre-anóxica</v>
          </cell>
        </row>
        <row r="439">
          <cell r="A439" t="str">
            <v>m0496</v>
          </cell>
          <cell r="B439" t="str">
            <v>Production de Fa en zone préanoxie</v>
          </cell>
          <cell r="C439" t="str">
            <v>Easy assimilate production in preanoxic</v>
          </cell>
          <cell r="D439" t="str">
            <v>Producción de fa en la preanoxica</v>
          </cell>
        </row>
        <row r="440">
          <cell r="A440" t="str">
            <v>m0497</v>
          </cell>
        </row>
        <row r="441">
          <cell r="A441" t="str">
            <v>m0498</v>
          </cell>
        </row>
        <row r="442">
          <cell r="A442" t="str">
            <v>m0499</v>
          </cell>
        </row>
        <row r="443">
          <cell r="A443" t="str">
            <v>m0500</v>
          </cell>
          <cell r="B443" t="str">
            <v>Elimination de la DBO</v>
          </cell>
          <cell r="C443" t="str">
            <v>BOD removal</v>
          </cell>
          <cell r="D443" t="str">
            <v>Eliminación de la DBO</v>
          </cell>
        </row>
        <row r="444">
          <cell r="A444" t="str">
            <v>m0501</v>
          </cell>
          <cell r="B444" t="str">
            <v>Coefficient de biodégradabilité k    ( l/ h.gMVS )</v>
          </cell>
          <cell r="C444" t="str">
            <v>Biodegradabily coefficient k (l/ h.gVSS)</v>
          </cell>
          <cell r="D444" t="str">
            <v>Coefficiente de biodegradabilidad k   ( l/h.gVS)</v>
          </cell>
        </row>
        <row r="445">
          <cell r="A445" t="str">
            <v>m0502</v>
          </cell>
          <cell r="B445" t="str">
            <v>Concentration DBO soluble en sortie</v>
          </cell>
          <cell r="C445" t="str">
            <v>Outlet soluble BOD concentration</v>
          </cell>
          <cell r="D445" t="str">
            <v>Conc de DBO soluble en la salida</v>
          </cell>
        </row>
        <row r="446">
          <cell r="A446" t="str">
            <v>m0503</v>
          </cell>
          <cell r="B446" t="str">
            <v>avec débit moyen</v>
          </cell>
          <cell r="C446" t="str">
            <v>with average flow</v>
          </cell>
          <cell r="D446" t="str">
            <v>con el cuadal  medio</v>
          </cell>
        </row>
        <row r="447">
          <cell r="A447" t="str">
            <v>m0504</v>
          </cell>
          <cell r="B447" t="str">
            <v>avec débit de pointe temps sec</v>
          </cell>
          <cell r="C447" t="str">
            <v>with dry weather peak flow</v>
          </cell>
          <cell r="D447" t="str">
            <v>con el cuadal punta tiempo seco</v>
          </cell>
        </row>
        <row r="448">
          <cell r="A448" t="str">
            <v>m0505</v>
          </cell>
          <cell r="B448" t="str">
            <v>Concentration DBO particulaire en sortie</v>
          </cell>
          <cell r="C448" t="str">
            <v>Outlet settleable BOD concentration</v>
          </cell>
          <cell r="D448" t="str">
            <v>Conc DBO particular en la salida</v>
          </cell>
        </row>
        <row r="449">
          <cell r="A449" t="str">
            <v>m0506</v>
          </cell>
          <cell r="B449" t="str">
            <v>Rendement moyen d'élim DBO</v>
          </cell>
          <cell r="C449" t="str">
            <v>Average BOD elimination rate</v>
          </cell>
          <cell r="D449" t="str">
            <v>Rendimiento medio de eliminación de DBO</v>
          </cell>
        </row>
        <row r="450">
          <cell r="A450" t="str">
            <v>m0507</v>
          </cell>
        </row>
        <row r="451">
          <cell r="A451" t="str">
            <v>m0508</v>
          </cell>
          <cell r="B451" t="str">
            <v>Concentration DBO en sortie</v>
          </cell>
          <cell r="C451" t="str">
            <v>Outlet BOD concentration</v>
          </cell>
          <cell r="D451" t="str">
            <v>Concentación DBO en la salida</v>
          </cell>
        </row>
        <row r="452">
          <cell r="A452" t="str">
            <v>m0509</v>
          </cell>
        </row>
        <row r="453">
          <cell r="A453" t="str">
            <v>m0510</v>
          </cell>
        </row>
        <row r="454">
          <cell r="A454" t="str">
            <v>m0511</v>
          </cell>
          <cell r="B454" t="str">
            <v>Volume mini pour élimination du carbone</v>
          </cell>
          <cell r="C454" t="str">
            <v>Minimum volume for carbon removal</v>
          </cell>
          <cell r="D454" t="str">
            <v>Volumen mini para la eliminación del carbono</v>
          </cell>
        </row>
        <row r="455">
          <cell r="A455" t="str">
            <v>m0512</v>
          </cell>
          <cell r="B455" t="str">
            <v>Temps de séjour minimum</v>
          </cell>
          <cell r="C455" t="str">
            <v>Minimum retention time</v>
          </cell>
          <cell r="D455" t="str">
            <v>Tiempo de retención minimum</v>
          </cell>
        </row>
        <row r="456">
          <cell r="A456" t="str">
            <v>m0513</v>
          </cell>
        </row>
        <row r="457">
          <cell r="A457" t="str">
            <v>m0514</v>
          </cell>
        </row>
        <row r="458">
          <cell r="A458" t="str">
            <v>m0515</v>
          </cell>
        </row>
        <row r="459">
          <cell r="A459" t="str">
            <v>m0516</v>
          </cell>
        </row>
        <row r="460">
          <cell r="A460" t="str">
            <v>m0517</v>
          </cell>
        </row>
        <row r="461">
          <cell r="A461" t="str">
            <v>m0518</v>
          </cell>
        </row>
        <row r="462">
          <cell r="A462" t="str">
            <v>m0519</v>
          </cell>
        </row>
        <row r="463">
          <cell r="A463" t="str">
            <v>m0520</v>
          </cell>
          <cell r="B463" t="str">
            <v>A.O. : Anoxie + Aération</v>
          </cell>
          <cell r="C463" t="str">
            <v>A.O. :Anoxic + Aeration</v>
          </cell>
          <cell r="D463" t="str">
            <v>A.O. : Anoxia + Oxidación</v>
          </cell>
        </row>
        <row r="464">
          <cell r="A464" t="str">
            <v>m0521</v>
          </cell>
          <cell r="B464" t="str">
            <v>A.O.E : Trizone</v>
          </cell>
          <cell r="C464" t="str">
            <v>A.O.E.: Trizone</v>
          </cell>
          <cell r="D464" t="str">
            <v>A.O.E: Trizona</v>
          </cell>
        </row>
        <row r="465">
          <cell r="A465" t="str">
            <v>m0522</v>
          </cell>
          <cell r="B465" t="str">
            <v>A.O séquencé</v>
          </cell>
          <cell r="C465" t="str">
            <v>A.O step aerated</v>
          </cell>
          <cell r="D465" t="str">
            <v>A.O.sequencial</v>
          </cell>
        </row>
        <row r="466">
          <cell r="A466" t="str">
            <v>m0523</v>
          </cell>
          <cell r="B466" t="str">
            <v>Chenal séquencé</v>
          </cell>
          <cell r="C466" t="str">
            <v>Step aeration ditch</v>
          </cell>
          <cell r="D466" t="str">
            <v>Oxidación sequencial</v>
          </cell>
        </row>
        <row r="467">
          <cell r="A467" t="str">
            <v>m0524</v>
          </cell>
          <cell r="B467" t="str">
            <v>Carbone seul</v>
          </cell>
          <cell r="C467" t="str">
            <v>Carbon removal only</v>
          </cell>
          <cell r="D467" t="str">
            <v>Carbono solo</v>
          </cell>
        </row>
        <row r="468">
          <cell r="A468" t="str">
            <v>m0525</v>
          </cell>
        </row>
        <row r="469">
          <cell r="A469" t="str">
            <v>m0526</v>
          </cell>
        </row>
        <row r="470">
          <cell r="A470" t="str">
            <v>m0527</v>
          </cell>
        </row>
        <row r="471">
          <cell r="A471" t="str">
            <v>m0528</v>
          </cell>
        </row>
        <row r="472">
          <cell r="A472" t="str">
            <v>m0529</v>
          </cell>
        </row>
        <row r="473">
          <cell r="A473" t="str">
            <v>m0600</v>
          </cell>
          <cell r="B473" t="str">
            <v>6. DEPHOSPHATATION</v>
          </cell>
          <cell r="C473" t="str">
            <v>6. PHOSPHORUS REMOVAL</v>
          </cell>
          <cell r="D473" t="str">
            <v>6. DEFOSFATACION</v>
          </cell>
        </row>
        <row r="474">
          <cell r="A474" t="str">
            <v>m0600b</v>
          </cell>
          <cell r="B474" t="str">
            <v>Déphosphatation</v>
          </cell>
          <cell r="C474" t="str">
            <v>Phosphorus removal</v>
          </cell>
          <cell r="D474" t="str">
            <v>Defosfatación</v>
          </cell>
        </row>
        <row r="475">
          <cell r="A475" t="str">
            <v>m0600c</v>
          </cell>
          <cell r="B475" t="str">
            <v>Choix du type de déphosphatation …</v>
          </cell>
          <cell r="C475" t="str">
            <v>Kind of P removal …</v>
          </cell>
          <cell r="D475" t="str">
            <v>Tipo de defosfatación …</v>
          </cell>
        </row>
        <row r="476">
          <cell r="A476" t="str">
            <v>m0601</v>
          </cell>
          <cell r="B476" t="str">
            <v>Déphosphatation biologique </v>
          </cell>
          <cell r="C476" t="str">
            <v>Biological P removal </v>
          </cell>
          <cell r="D476" t="str">
            <v>Defosfatación biológica </v>
          </cell>
        </row>
        <row r="477">
          <cell r="A477" t="str">
            <v>m0602</v>
          </cell>
          <cell r="B477" t="str">
            <v>Volume maxi pour 1,5 h (Qps + Qm recirculé)</v>
          </cell>
          <cell r="C477" t="str">
            <v>Maxi volume for 1,5 h (Qps + Qm recirculated)</v>
          </cell>
          <cell r="D477" t="str">
            <v>Volumen maxi para 1,5 h (Qps + Qm recirculado)</v>
          </cell>
        </row>
        <row r="478">
          <cell r="A478" t="str">
            <v>m0603</v>
          </cell>
          <cell r="B478" t="str">
            <v>Volume mini pour 1 h (Qps + Qm recirculé)</v>
          </cell>
          <cell r="C478" t="str">
            <v>Mini volume for 1 h (Qps + Qm recirculated)</v>
          </cell>
          <cell r="D478" t="str">
            <v>Volumen mini para 1 h (Qps + Qm recirculado)</v>
          </cell>
        </row>
        <row r="479">
          <cell r="A479" t="str">
            <v>m0603a</v>
          </cell>
          <cell r="B479" t="str">
            <v>Constante ordre 1 acidogénèse     Kacidogénèse</v>
          </cell>
          <cell r="C479" t="str">
            <v>Constant Kacidogenese</v>
          </cell>
          <cell r="D479" t="str">
            <v>Constante Kacidogena</v>
          </cell>
        </row>
        <row r="480">
          <cell r="A480" t="str">
            <v>m0603b</v>
          </cell>
          <cell r="B480" t="str">
            <v>Volume anaérobie pour produire le carbone fa </v>
          </cell>
          <cell r="C480" t="str">
            <v>Anaerobic volume to produce e.a. carbon</v>
          </cell>
          <cell r="D480" t="str">
            <v>Volumen anaerobia para producir el carbono fa</v>
          </cell>
        </row>
        <row r="481">
          <cell r="A481" t="str">
            <v>m0603c</v>
          </cell>
          <cell r="B481" t="str">
            <v>Volume proposé pour la zone anaérobie</v>
          </cell>
          <cell r="C481" t="str">
            <v>Proposed volume for the anaerobic zone</v>
          </cell>
          <cell r="D481" t="str">
            <v>Volumen propuesto para la zona anaerobia</v>
          </cell>
        </row>
        <row r="482">
          <cell r="A482" t="str">
            <v>m0604</v>
          </cell>
          <cell r="B482" t="str">
            <v>Volume anaérobie</v>
          </cell>
          <cell r="C482" t="str">
            <v>Anaerobic volume</v>
          </cell>
          <cell r="D482" t="str">
            <v>Volumen anaerobia</v>
          </cell>
        </row>
        <row r="483">
          <cell r="A483" t="str">
            <v>m0604b</v>
          </cell>
          <cell r="B483" t="str">
            <v>revoir Volume !</v>
          </cell>
          <cell r="C483" t="str">
            <v>check Volume !</v>
          </cell>
          <cell r="D483" t="str">
            <v>revisar Volumen !</v>
          </cell>
        </row>
        <row r="484">
          <cell r="A484" t="str">
            <v>m0605</v>
          </cell>
          <cell r="B484" t="str">
            <v>soit Volume total (Vanaer+Vpréanox)</v>
          </cell>
          <cell r="C484" t="str">
            <v>so total volume (Vanaer+Vpreanox)</v>
          </cell>
          <cell r="D484" t="str">
            <v>entonces Volumen total (Vanaer+Vpreanox)</v>
          </cell>
        </row>
        <row r="485">
          <cell r="A485" t="str">
            <v>m0605b</v>
          </cell>
          <cell r="B485" t="str">
            <v>soit temps de séjour global sur Qmoy</v>
          </cell>
          <cell r="C485" t="str">
            <v>so global retention time on AverF</v>
          </cell>
          <cell r="D485" t="str">
            <v>entonces tiempo de retención global con Qmedio</v>
          </cell>
        </row>
        <row r="486">
          <cell r="A486" t="str">
            <v>m0605c</v>
          </cell>
          <cell r="B486" t="str">
            <v>soit temps de séjour sur Qps + Qm recirculé</v>
          </cell>
          <cell r="C486" t="str">
            <v>so retnetion time on Qps + Qm recirculated</v>
          </cell>
          <cell r="D486" t="str">
            <v>entonces tiempo de retención con Qps + Qm recirculado</v>
          </cell>
        </row>
        <row r="487">
          <cell r="A487" t="str">
            <v>m0606</v>
          </cell>
          <cell r="B487" t="str">
            <v>Volume retenu pour l'anaérobie</v>
          </cell>
          <cell r="C487" t="str">
            <v>Anaerobic chosen volume</v>
          </cell>
          <cell r="D487" t="str">
            <v>Volumen retenido para la anaerobia</v>
          </cell>
        </row>
        <row r="488">
          <cell r="A488" t="str">
            <v>m0607</v>
          </cell>
          <cell r="B488" t="str">
            <v>Assimilation biologique</v>
          </cell>
          <cell r="C488" t="str">
            <v>Biological assimilation</v>
          </cell>
          <cell r="D488" t="str">
            <v>Asimilación biológica</v>
          </cell>
        </row>
        <row r="489">
          <cell r="A489" t="str">
            <v>m0608</v>
          </cell>
          <cell r="B489" t="str">
            <v>Rappel P total admis dans le biologique</v>
          </cell>
          <cell r="C489" t="str">
            <v>Remind of total P at biological inlet</v>
          </cell>
          <cell r="D489" t="str">
            <v>Recuerdo P total admitido en el biológico</v>
          </cell>
        </row>
        <row r="490">
          <cell r="A490" t="str">
            <v>m0608b</v>
          </cell>
          <cell r="B490" t="str">
            <v>Rappel concentration P entrée biologique</v>
          </cell>
          <cell r="C490" t="str">
            <v>Remind of P conc at biological inlet</v>
          </cell>
          <cell r="D490" t="str">
            <v>Recuerdo conc P entrada del biológico</v>
          </cell>
        </row>
        <row r="491">
          <cell r="A491" t="str">
            <v>m0609a</v>
          </cell>
          <cell r="B491" t="str">
            <v>Flux de carbone facilement assimilable nécessaire</v>
          </cell>
          <cell r="C491" t="str">
            <v>Easily assimilated COD load necessary</v>
          </cell>
          <cell r="D491" t="str">
            <v>Flujo de DBO facilmente asimilable necesaria</v>
          </cell>
        </row>
        <row r="492">
          <cell r="A492" t="str">
            <v>m0609b</v>
          </cell>
          <cell r="B492" t="str">
            <v>Flux de carbone facilement assimilable disponible</v>
          </cell>
          <cell r="C492" t="str">
            <v>Easily assimilated COD load available</v>
          </cell>
          <cell r="D492" t="str">
            <v>Flujo de DBO facilmente asimilable disponible</v>
          </cell>
        </row>
        <row r="493">
          <cell r="A493" t="str">
            <v>m0610</v>
          </cell>
          <cell r="B493" t="str">
            <v>Situation vis-à-vis du carbone fa</v>
          </cell>
          <cell r="C493" t="str">
            <v>Situation regarding easy assimilated C</v>
          </cell>
          <cell r="D493" t="str">
            <v>Situación segun carbono fa</v>
          </cell>
        </row>
        <row r="494">
          <cell r="A494" t="str">
            <v>m0610b</v>
          </cell>
          <cell r="B494" t="str">
            <v>limitante !!</v>
          </cell>
          <cell r="C494" t="str">
            <v>limited !!</v>
          </cell>
          <cell r="D494" t="str">
            <v>limitante !!</v>
          </cell>
        </row>
        <row r="495">
          <cell r="A495" t="str">
            <v>m0610c</v>
          </cell>
          <cell r="B495" t="str">
            <v>limite !</v>
          </cell>
          <cell r="C495" t="str">
            <v>just !</v>
          </cell>
          <cell r="D495" t="str">
            <v>límite</v>
          </cell>
        </row>
        <row r="496">
          <cell r="A496" t="str">
            <v>m0610d</v>
          </cell>
          <cell r="B496" t="str">
            <v>non limitante</v>
          </cell>
          <cell r="C496" t="str">
            <v>not limited</v>
          </cell>
          <cell r="D496" t="str">
            <v>no limitante</v>
          </cell>
        </row>
        <row r="497">
          <cell r="A497" t="str">
            <v>m0611</v>
          </cell>
          <cell r="B497" t="str">
            <v>Elimination du phosphore par :</v>
          </cell>
          <cell r="C497" t="str">
            <v>Phosphorus removal by :</v>
          </cell>
          <cell r="D497" t="str">
            <v>Eliminación del fósforo por :</v>
          </cell>
        </row>
        <row r="498">
          <cell r="A498" t="str">
            <v>m0612</v>
          </cell>
          <cell r="B498" t="str">
            <v>assimilation simple</v>
          </cell>
          <cell r="C498" t="str">
            <v>single assimilation</v>
          </cell>
          <cell r="D498" t="str">
            <v>asimilación solo</v>
          </cell>
        </row>
        <row r="499">
          <cell r="A499" t="str">
            <v>m0613</v>
          </cell>
          <cell r="B499" t="str">
            <v>déphos biologique</v>
          </cell>
          <cell r="C499" t="str">
            <v>biological P removal</v>
          </cell>
          <cell r="D499" t="str">
            <v>defosfatación biológica</v>
          </cell>
        </row>
        <row r="500">
          <cell r="A500" t="str">
            <v>m0613a</v>
          </cell>
          <cell r="B500" t="str">
            <v>Performance de la déphosphatation biologique</v>
          </cell>
          <cell r="C500" t="str">
            <v>Biological P removal performance</v>
          </cell>
          <cell r="D500" t="str">
            <v>Prestaciones de la defosfatación biológica</v>
          </cell>
        </row>
        <row r="501">
          <cell r="A501" t="str">
            <v>m0613b</v>
          </cell>
          <cell r="B501" t="str">
            <v>Bilan DCO fa</v>
          </cell>
          <cell r="C501" t="str">
            <v>COD rb balance</v>
          </cell>
          <cell r="D501" t="str">
            <v>Balance DQO fa</v>
          </cell>
        </row>
        <row r="502">
          <cell r="A502" t="str">
            <v>m0613c</v>
          </cell>
          <cell r="B502" t="str">
            <v>Flux de P suraccumulé théorique</v>
          </cell>
          <cell r="C502" t="str">
            <v>Theoretical over-acumulated P load</v>
          </cell>
          <cell r="D502" t="str">
            <v>Flujo de P sobre acumulado teórico</v>
          </cell>
        </row>
        <row r="503">
          <cell r="A503" t="str">
            <v>m0613d</v>
          </cell>
          <cell r="B503" t="str">
            <v>Flux de P éliminé effectif</v>
          </cell>
          <cell r="C503" t="str">
            <v>Effective eliminated P load</v>
          </cell>
          <cell r="D503" t="str">
            <v>Flujo de P eliminado real</v>
          </cell>
        </row>
        <row r="504">
          <cell r="A504" t="str">
            <v>m0613e</v>
          </cell>
          <cell r="B504" t="str">
            <v>Flux de P suraccumulé retenu pour exploitation</v>
          </cell>
          <cell r="C504" t="str">
            <v>Over-acumulated P load used for operation</v>
          </cell>
          <cell r="D504" t="str">
            <v>Flujo de P sobre acumulado utilizado para esplotación</v>
          </cell>
        </row>
        <row r="505">
          <cell r="A505" t="str">
            <v>m0614</v>
          </cell>
          <cell r="B505" t="str">
            <v>soit un taux d'assimilation du phosphore </v>
          </cell>
          <cell r="C505" t="str">
            <v>so P assimilation rate</v>
          </cell>
          <cell r="D505" t="str">
            <v>entonces % de asimilación del fósforo</v>
          </cell>
        </row>
        <row r="506">
          <cell r="A506" t="str">
            <v>m0615</v>
          </cell>
          <cell r="B506" t="str">
            <v>calculé sur les boues biologiques actives</v>
          </cell>
          <cell r="C506" t="str">
            <v>calculated on active biological sludge </v>
          </cell>
          <cell r="D506" t="str">
            <v>calculado sobre los fangos biológicos activos</v>
          </cell>
        </row>
        <row r="507">
          <cell r="A507" t="str">
            <v>m0616</v>
          </cell>
          <cell r="B507" t="str">
            <v>Flux de P soluble assimilé sur MV bio</v>
          </cell>
          <cell r="C507" t="str">
            <v>Soluble P load assimilated on SV bio</v>
          </cell>
          <cell r="D507" t="str">
            <v>Flujo de P soluble asimilado on VS bio</v>
          </cell>
        </row>
        <row r="508">
          <cell r="A508" t="str">
            <v>m0617</v>
          </cell>
          <cell r="B508" t="str">
            <v>Phosphore au rejet</v>
          </cell>
          <cell r="C508" t="str">
            <v>Phosphorus at the outlet</v>
          </cell>
          <cell r="D508" t="str">
            <v>Fósforo en la salida</v>
          </cell>
        </row>
        <row r="509">
          <cell r="A509" t="str">
            <v>m0618</v>
          </cell>
          <cell r="B509" t="str">
            <v>Conc. MES sortie biologique</v>
          </cell>
          <cell r="C509" t="str">
            <v>SST conc at biological outlet</v>
          </cell>
          <cell r="D509" t="str">
            <v>Conc MES en la salida del biológico</v>
          </cell>
        </row>
        <row r="510">
          <cell r="A510" t="str">
            <v>m0618b</v>
          </cell>
          <cell r="B510" t="str">
            <v>Conc. P sol au rejet</v>
          </cell>
          <cell r="C510" t="str">
            <v>Sol P conc at biological outlet</v>
          </cell>
          <cell r="D510" t="str">
            <v>Conc P sol en la salida</v>
          </cell>
        </row>
        <row r="511">
          <cell r="A511" t="str">
            <v>m0619</v>
          </cell>
          <cell r="B511" t="str">
            <v>Teneur en phosphore dans les MES de rejet</v>
          </cell>
          <cell r="C511" t="str">
            <v>Phosphorus rate in SST outlet</v>
          </cell>
          <cell r="D511" t="str">
            <v>Proporción de P en los SS del agua tratada</v>
          </cell>
        </row>
        <row r="512">
          <cell r="A512" t="str">
            <v>m0620</v>
          </cell>
          <cell r="B512" t="str">
            <v>Phosphore insoluble sortie du biologique</v>
          </cell>
          <cell r="C512" t="str">
            <v>Insoluble P at biological outlet</v>
          </cell>
          <cell r="D512" t="str">
            <v>Fosfóro insoluble en la salida</v>
          </cell>
        </row>
        <row r="513">
          <cell r="A513" t="str">
            <v>m0621</v>
          </cell>
          <cell r="B513" t="str">
            <v>Concentration de P total au rejet obtenue</v>
          </cell>
          <cell r="C513" t="str">
            <v>Total P conc at the outlet</v>
          </cell>
          <cell r="D513" t="str">
            <v>Conc de P total obtenido</v>
          </cell>
        </row>
        <row r="514">
          <cell r="A514" t="str">
            <v>m0622</v>
          </cell>
          <cell r="B514" t="str">
            <v>Soit un rendement d'élimination biologique sur P assimilé et P insoluble</v>
          </cell>
          <cell r="C514" t="str">
            <v>so biological elimination efficiency on assimilated P and insoluble P</v>
          </cell>
          <cell r="D514" t="str">
            <v>Es decir un rendimiento de eliminación biológica sobre P asimilado</v>
          </cell>
        </row>
        <row r="515">
          <cell r="A515" t="str">
            <v>m0623</v>
          </cell>
          <cell r="B515" t="str">
            <v>Surproduction de boue déphosphatation biologique</v>
          </cell>
          <cell r="C515" t="str">
            <v>Over production of P removal sludge</v>
          </cell>
          <cell r="D515" t="str">
            <v>Producción de fangos de la defosfatación biológica</v>
          </cell>
        </row>
        <row r="516">
          <cell r="A516" t="str">
            <v>m0624</v>
          </cell>
          <cell r="B516" t="str">
            <v>Déphosphatation physico chimique …</v>
          </cell>
          <cell r="C516" t="str">
            <v>Physical chemical P removal …</v>
          </cell>
          <cell r="D516" t="str">
            <v>Defosfatación física-química …</v>
          </cell>
        </row>
        <row r="517">
          <cell r="A517" t="str">
            <v>m0625</v>
          </cell>
          <cell r="B517" t="str">
            <v>nécessaire</v>
          </cell>
          <cell r="C517" t="str">
            <v>necessary</v>
          </cell>
          <cell r="D517" t="str">
            <v>necesaria</v>
          </cell>
        </row>
        <row r="518">
          <cell r="A518" t="str">
            <v>m0626</v>
          </cell>
          <cell r="B518" t="str">
            <v>inutile</v>
          </cell>
          <cell r="C518" t="str">
            <v>needless</v>
          </cell>
          <cell r="D518" t="str">
            <v>inútil</v>
          </cell>
        </row>
        <row r="519">
          <cell r="A519" t="str">
            <v>m0627</v>
          </cell>
          <cell r="B519" t="str">
            <v>Déphosphatation physico chimique simultanée ?</v>
          </cell>
          <cell r="C519" t="str">
            <v>Simultaneous physical-chemical P removal ?</v>
          </cell>
          <cell r="D519" t="str">
            <v>Defosfatación física-química simultaneo</v>
          </cell>
        </row>
        <row r="520">
          <cell r="A520" t="str">
            <v>m0628</v>
          </cell>
          <cell r="B520" t="str">
            <v>Rappel objectif de qualité sur le phosphore</v>
          </cell>
          <cell r="C520" t="str">
            <v>Remind of outlet P objective</v>
          </cell>
          <cell r="D520" t="str">
            <v>Recuerdo del objetivo del fósforo</v>
          </cell>
        </row>
        <row r="521">
          <cell r="A521" t="str">
            <v>m0629</v>
          </cell>
          <cell r="B521" t="str">
            <v>Conc. P total au rejet à obtenir </v>
          </cell>
          <cell r="C521" t="str">
            <v>Outlet total P conc to get</v>
          </cell>
          <cell r="D521" t="str">
            <v>Conc P total en la salida que hay que obtener</v>
          </cell>
        </row>
        <row r="522">
          <cell r="A522" t="str">
            <v>m0630</v>
          </cell>
          <cell r="B522" t="str">
            <v>Conc. P soluble maxi au rejet</v>
          </cell>
          <cell r="C522" t="str">
            <v>Outlet maxi soluble P conc</v>
          </cell>
          <cell r="D522" t="str">
            <v>Conc P soluble maxi en la salida</v>
          </cell>
        </row>
        <row r="523">
          <cell r="A523" t="str">
            <v>m0631</v>
          </cell>
          <cell r="B523" t="str">
            <v>soit rendement d'élimination sur P soluble</v>
          </cell>
          <cell r="C523" t="str">
            <v>so soluble P elimination efficiency</v>
          </cell>
          <cell r="D523" t="str">
            <v>es decir un rendimiento de eliminación sobre P soluble</v>
          </cell>
        </row>
        <row r="524">
          <cell r="A524" t="str">
            <v>m0632</v>
          </cell>
          <cell r="B524" t="str">
            <v>Utilisation du réactif</v>
          </cell>
          <cell r="C524" t="str">
            <v>Reagent use</v>
          </cell>
          <cell r="D524" t="str">
            <v>Utilización de reactivo</v>
          </cell>
        </row>
        <row r="525">
          <cell r="A525" t="str">
            <v>m0633</v>
          </cell>
          <cell r="B525" t="str">
            <v>Chlorure ferrique</v>
          </cell>
          <cell r="C525" t="str">
            <v>Ferric chloride</v>
          </cell>
          <cell r="D525" t="str">
            <v>Cloruro férrico</v>
          </cell>
        </row>
        <row r="526">
          <cell r="A526" t="str">
            <v>m0634</v>
          </cell>
          <cell r="B526" t="str">
            <v>Sulfate alumine</v>
          </cell>
          <cell r="C526" t="str">
            <v>Alumina sulphate</v>
          </cell>
          <cell r="D526" t="str">
            <v>Sulfato de aluminio</v>
          </cell>
        </row>
        <row r="527">
          <cell r="A527" t="str">
            <v>m0635</v>
          </cell>
          <cell r="B527" t="str">
            <v>pour voir le détail des calculs, cliquer sur +</v>
          </cell>
          <cell r="C527" t="str">
            <v>to see the detail of the calculs, click on +</v>
          </cell>
          <cell r="D527" t="str">
            <v>para ver el detalle de los calculs, abrir con +</v>
          </cell>
        </row>
        <row r="528">
          <cell r="A528" t="str">
            <v>m0636</v>
          </cell>
          <cell r="B528" t="str">
            <v>Utilisation de Chlorure Ferrique</v>
          </cell>
          <cell r="C528" t="str">
            <v>Ferric Chloride use</v>
          </cell>
          <cell r="D528" t="str">
            <v>Utilización de Sulfate de Hierro</v>
          </cell>
        </row>
        <row r="529">
          <cell r="A529" t="str">
            <v>m0637</v>
          </cell>
          <cell r="B529" t="str">
            <v>Rapport molaire sur P sol après assimilation</v>
          </cell>
          <cell r="C529" t="str">
            <v>Ratio of molar mass on sol P despues assimilation</v>
          </cell>
          <cell r="D529" t="str">
            <v>Relación molar del P sol despues asimilación</v>
          </cell>
        </row>
        <row r="530">
          <cell r="A530" t="str">
            <v>m0638</v>
          </cell>
          <cell r="B530" t="str">
            <v>Fe/P</v>
          </cell>
          <cell r="C530" t="str">
            <v>Fe/P</v>
          </cell>
          <cell r="D530" t="str">
            <v>Fe/P</v>
          </cell>
        </row>
        <row r="531">
          <cell r="A531" t="str">
            <v>m0639</v>
          </cell>
          <cell r="B531" t="str">
            <v>Rapport pondéral Fe/P</v>
          </cell>
          <cell r="C531" t="str">
            <v>Ponderal ratio Fe/P</v>
          </cell>
          <cell r="D531" t="str">
            <v>Relación específica Fe/P</v>
          </cell>
        </row>
        <row r="532">
          <cell r="A532" t="str">
            <v>m0640</v>
          </cell>
          <cell r="B532" t="str">
            <v>Rapport molaire Beta T Métal/P sur P soluble précipité</v>
          </cell>
          <cell r="C532" t="str">
            <v>Ratio of molar mass on precipitate sol P </v>
          </cell>
          <cell r="D532" t="str">
            <v>Relación molar Beta T Metal/P sobre P soluble precipitado</v>
          </cell>
        </row>
        <row r="533">
          <cell r="A533" t="str">
            <v>m0641</v>
          </cell>
          <cell r="B533" t="str">
            <v>Consommation journalière en Fer pur</v>
          </cell>
          <cell r="C533" t="str">
            <v>Diary consumption of pure iron</v>
          </cell>
          <cell r="D533" t="str">
            <v>Consumo diario en Hierro puro</v>
          </cell>
        </row>
        <row r="534">
          <cell r="A534" t="str">
            <v>m0642</v>
          </cell>
          <cell r="B534" t="str">
            <v>Consommation journalière en FeCl3 pur</v>
          </cell>
          <cell r="C534" t="str">
            <v>Diary consumption of pure FeCl3</v>
          </cell>
          <cell r="D534" t="str">
            <v>Consumo diario en FeCl3 puro </v>
          </cell>
        </row>
        <row r="535">
          <cell r="A535" t="str">
            <v>m0643</v>
          </cell>
          <cell r="B535" t="str">
            <v>Fer utilisé dans le précipité FePO4</v>
          </cell>
          <cell r="C535" t="str">
            <v>Iron used to form FePO4</v>
          </cell>
          <cell r="D535" t="str">
            <v>Hierro utilizado para precipitar FePO4</v>
          </cell>
        </row>
        <row r="536">
          <cell r="A536" t="str">
            <v>m0644</v>
          </cell>
          <cell r="B536" t="str">
            <v>Fer restants précipitable en Fe(OH)3</v>
          </cell>
          <cell r="C536" t="str">
            <v>Iron remaining precipitated in Fe(OH)3</v>
          </cell>
          <cell r="D536" t="str">
            <v>Hierro utilizado para precipitar Fe(OH)3</v>
          </cell>
        </row>
        <row r="537">
          <cell r="A537" t="str">
            <v>m0645</v>
          </cell>
          <cell r="B537" t="str">
            <v>Poids de précipité FePO4 formé par jour</v>
          </cell>
          <cell r="C537" t="str">
            <v>Daily FePO4 precipitate load</v>
          </cell>
          <cell r="D537" t="str">
            <v>Cantidad de FePO4 formado</v>
          </cell>
        </row>
        <row r="538">
          <cell r="A538" t="str">
            <v>m0646</v>
          </cell>
          <cell r="B538" t="str">
            <v>Poids de précipité Fe(OH)3 formé par jour</v>
          </cell>
          <cell r="C538" t="str">
            <v>Daily Fe(OH)3 precipitate load</v>
          </cell>
          <cell r="D538" t="str">
            <v>Cantidad de Fe(OH)3 formado</v>
          </cell>
        </row>
        <row r="539">
          <cell r="A539" t="str">
            <v>m0647</v>
          </cell>
          <cell r="B539" t="str">
            <v>Production de boues physico chimiques</v>
          </cell>
          <cell r="C539" t="str">
            <v>Physical-chemical sludge production</v>
          </cell>
          <cell r="D539" t="str">
            <v>Producción de fangos físico-químicos</v>
          </cell>
        </row>
        <row r="540">
          <cell r="A540" t="str">
            <v>m0647b</v>
          </cell>
          <cell r="B540" t="str">
            <v>Teneur en P lié aux MES</v>
          </cell>
          <cell r="C540" t="str">
            <v>P content in SST</v>
          </cell>
          <cell r="D540" t="str">
            <v>Proporción de P en los SS </v>
          </cell>
        </row>
        <row r="541">
          <cell r="A541" t="str">
            <v>m0648</v>
          </cell>
          <cell r="B541" t="str">
            <v>Utilisation de sulfate d'Aluminium</v>
          </cell>
          <cell r="C541" t="str">
            <v>Alumina Sulphate use</v>
          </cell>
          <cell r="D541" t="str">
            <v>Utilización de sulfato de aluminio</v>
          </cell>
        </row>
        <row r="542">
          <cell r="A542" t="str">
            <v>m0649</v>
          </cell>
          <cell r="B542" t="str">
            <v>Rapport molaire sur P sol après assimilation</v>
          </cell>
          <cell r="C542" t="str">
            <v>Ratio of molar mass on sol P despues assimilation</v>
          </cell>
          <cell r="D542" t="str">
            <v>Relación molar del P sol despues asimilación</v>
          </cell>
        </row>
        <row r="543">
          <cell r="A543" t="str">
            <v>m0650</v>
          </cell>
          <cell r="B543" t="str">
            <v>Al/P</v>
          </cell>
          <cell r="C543" t="str">
            <v>Al/P</v>
          </cell>
          <cell r="D543" t="str">
            <v>Al/P</v>
          </cell>
        </row>
        <row r="544">
          <cell r="A544" t="str">
            <v>m0651</v>
          </cell>
          <cell r="B544" t="str">
            <v>Rapport pondéral Al/P</v>
          </cell>
          <cell r="C544" t="str">
            <v>Ponderal ratio Al/P</v>
          </cell>
          <cell r="D544" t="str">
            <v>Relación ponderal Al/P</v>
          </cell>
        </row>
        <row r="545">
          <cell r="A545" t="str">
            <v>m0652</v>
          </cell>
          <cell r="B545" t="str">
            <v>Rapport molaire Beta T Métal/P sur P soluble précipité</v>
          </cell>
          <cell r="C545" t="str">
            <v>Ratio of molar mass on precipitate sol P </v>
          </cell>
          <cell r="D545" t="str">
            <v>Relación molar Beta T Metal/P sobre P soluble precipitado</v>
          </cell>
        </row>
        <row r="546">
          <cell r="A546" t="str">
            <v>m0653</v>
          </cell>
          <cell r="B546" t="str">
            <v>Consommation journalière en Al pur</v>
          </cell>
          <cell r="C546" t="str">
            <v>Diary consumption of pure Al</v>
          </cell>
          <cell r="D546" t="str">
            <v>Consumo diario en Aluminium puro</v>
          </cell>
        </row>
        <row r="547">
          <cell r="A547" t="str">
            <v>m0654</v>
          </cell>
          <cell r="B547" t="str">
            <v>Consommation journalière en Al2SO4 18H2O pur</v>
          </cell>
          <cell r="C547" t="str">
            <v>Diary consumption of pure Al2O3</v>
          </cell>
          <cell r="D547" t="str">
            <v>Consumo diario en Al2O3 puro </v>
          </cell>
        </row>
        <row r="548">
          <cell r="A548" t="str">
            <v>m0655</v>
          </cell>
          <cell r="B548" t="str">
            <v>Al utilisé dans le précipité AlPO4</v>
          </cell>
          <cell r="C548" t="str">
            <v>Iron used to form AlPO4</v>
          </cell>
          <cell r="D548" t="str">
            <v>Hierro utilizado para precipitar AlPO4</v>
          </cell>
        </row>
        <row r="549">
          <cell r="A549" t="str">
            <v>m0656</v>
          </cell>
          <cell r="B549" t="str">
            <v>Al restants précipitable en Al(OH)3</v>
          </cell>
          <cell r="C549" t="str">
            <v>Iron remaining precipitated in Al(OH)3</v>
          </cell>
          <cell r="D549" t="str">
            <v>Hierro utilizado para precipitar Al(OH)3</v>
          </cell>
        </row>
        <row r="550">
          <cell r="A550" t="str">
            <v>m0657</v>
          </cell>
          <cell r="B550" t="str">
            <v>Poids de précipité AlPO4 formé par jour</v>
          </cell>
          <cell r="C550" t="str">
            <v>Daily AlPO4 precipitate load</v>
          </cell>
          <cell r="D550" t="str">
            <v>Cantidad de AlPO4 formado</v>
          </cell>
        </row>
        <row r="551">
          <cell r="A551" t="str">
            <v>m0658</v>
          </cell>
          <cell r="B551" t="str">
            <v>Poids de précipité Al(OH)3 formé par jour</v>
          </cell>
          <cell r="C551" t="str">
            <v>Daily Al(OH)3 precipitate load</v>
          </cell>
          <cell r="D551" t="str">
            <v>Cantidad de Al(OH)3 formado</v>
          </cell>
        </row>
        <row r="552">
          <cell r="A552" t="str">
            <v>m0659</v>
          </cell>
          <cell r="B552" t="str">
            <v>Production de boues physico chimiques</v>
          </cell>
          <cell r="C552" t="str">
            <v>Physical-chemical sludge production</v>
          </cell>
          <cell r="D552" t="str">
            <v>Produccion de fangos físico-químicos</v>
          </cell>
        </row>
        <row r="553">
          <cell r="A553" t="str">
            <v>m0660</v>
          </cell>
          <cell r="B553" t="str">
            <v>Consommation de métal pur</v>
          </cell>
          <cell r="C553" t="str">
            <v>Pure metal consumption</v>
          </cell>
          <cell r="D553" t="str">
            <v>Consumo de metal puro</v>
          </cell>
        </row>
        <row r="554">
          <cell r="A554" t="str">
            <v>m0661</v>
          </cell>
          <cell r="B554" t="str">
            <v>Consommation de solution mère </v>
          </cell>
          <cell r="C554" t="str">
            <v>Industrial solution consumption</v>
          </cell>
          <cell r="D554" t="str">
            <v>Consumo de solución industrial</v>
          </cell>
        </row>
        <row r="555">
          <cell r="A555" t="str">
            <v>m0662</v>
          </cell>
          <cell r="B555" t="str">
            <v>Production de boues physico chimiques</v>
          </cell>
          <cell r="C555" t="str">
            <v>Physical-chemical sludge production</v>
          </cell>
          <cell r="D555" t="str">
            <v>Producción de fangos físico-chímicos</v>
          </cell>
        </row>
        <row r="556">
          <cell r="A556" t="str">
            <v>m0663</v>
          </cell>
          <cell r="B556" t="str">
            <v>hors limite !!</v>
          </cell>
          <cell r="C556" t="str">
            <v>over range !</v>
          </cell>
          <cell r="D556" t="str">
            <v>fuera limites !</v>
          </cell>
        </row>
        <row r="557">
          <cell r="A557" t="str">
            <v>m0664</v>
          </cell>
          <cell r="B557" t="str">
            <v>Flux de P inerte</v>
          </cell>
          <cell r="C557" t="str">
            <v>Inert P load</v>
          </cell>
          <cell r="D557" t="str">
            <v>Flujo de P inerto</v>
          </cell>
        </row>
        <row r="558">
          <cell r="A558" t="str">
            <v>m0665</v>
          </cell>
          <cell r="B558" t="str">
            <v>Flux de P soluble sortie </v>
          </cell>
          <cell r="C558" t="str">
            <v>Outlet soluble P load</v>
          </cell>
          <cell r="D558" t="str">
            <v>Flujo de P soluble salida</v>
          </cell>
        </row>
        <row r="559">
          <cell r="A559" t="str">
            <v>m0666</v>
          </cell>
          <cell r="B559" t="str">
            <v>Flux de P restant à éliminer</v>
          </cell>
          <cell r="C559" t="str">
            <v>Remaining P load to eliminate</v>
          </cell>
          <cell r="D559" t="str">
            <v>Flujo de P quedando a eliminar</v>
          </cell>
        </row>
        <row r="560">
          <cell r="A560" t="str">
            <v>m0667</v>
          </cell>
          <cell r="B560" t="str">
            <v>Quantité théorique de P dans les MVS</v>
          </cell>
          <cell r="C560" t="str">
            <v>Teorical P content in VSS</v>
          </cell>
          <cell r="D560" t="str">
            <v>Cantidad téorica de P in SV</v>
          </cell>
        </row>
        <row r="561">
          <cell r="A561" t="str">
            <v>m0668</v>
          </cell>
        </row>
        <row r="562">
          <cell r="A562" t="str">
            <v>m0669</v>
          </cell>
        </row>
        <row r="563">
          <cell r="A563" t="str">
            <v>m0670</v>
          </cell>
        </row>
        <row r="564">
          <cell r="A564" t="str">
            <v>m0671</v>
          </cell>
        </row>
        <row r="565">
          <cell r="A565" t="str">
            <v>m0672</v>
          </cell>
        </row>
        <row r="566">
          <cell r="A566" t="str">
            <v>m0673</v>
          </cell>
        </row>
        <row r="567">
          <cell r="A567" t="str">
            <v>m0674</v>
          </cell>
        </row>
        <row r="568">
          <cell r="A568" t="str">
            <v>m0675</v>
          </cell>
        </row>
        <row r="569">
          <cell r="A569" t="str">
            <v>m0676</v>
          </cell>
        </row>
        <row r="570">
          <cell r="A570" t="str">
            <v>m0700</v>
          </cell>
          <cell r="B570" t="str">
            <v>5. BESOINS EN OXYGENE</v>
          </cell>
          <cell r="C570" t="str">
            <v>5. OXYGEN NEEDS</v>
          </cell>
          <cell r="D570" t="str">
            <v>5. NECESIDADES DE OXIGENO</v>
          </cell>
        </row>
        <row r="571">
          <cell r="A571" t="str">
            <v>m0700b</v>
          </cell>
          <cell r="B571" t="str">
            <v>Besoins en oxygène</v>
          </cell>
          <cell r="C571" t="str">
            <v>Oxygen needs</v>
          </cell>
          <cell r="D571" t="str">
            <v>Necesidades de oxígeno</v>
          </cell>
        </row>
        <row r="572">
          <cell r="A572" t="str">
            <v>m0701</v>
          </cell>
          <cell r="B572" t="str">
            <v>a' * DBO5  +  b' * Sv * VbioT  +  4,57 N-NO3 formés  - 2,86 N-NO3 dénit</v>
          </cell>
          <cell r="C572" t="str">
            <v>a' * BOD5  +  b' * Sv * VbioT  +  4,57 NO3-N formed  - 2,86 NO3-N denit</v>
          </cell>
          <cell r="D572" t="str">
            <v>a' * DBO5  +  b' * Sv * VbioT  +  4,57 N-NO3 formados  - 2,86 N-NO3 denit</v>
          </cell>
        </row>
        <row r="573">
          <cell r="A573" t="str">
            <v>m0702</v>
          </cell>
          <cell r="B573" t="str">
            <v>Penser à recalculer les besoins en O2 à la température de dimensionnement de l'aération ( par défaut 20°C)</v>
          </cell>
          <cell r="C573" t="str">
            <v>Don't forget to calculate oxygen needs at design aeration temperature (20°C)</v>
          </cell>
          <cell r="D573" t="str">
            <v>Pensar en calcular los necesidades en O2 con la temperatura de diseño del aeración ( 20°C)</v>
          </cell>
        </row>
        <row r="574">
          <cell r="A574" t="str">
            <v>m0703</v>
          </cell>
          <cell r="B574" t="str">
            <v>Rappel flux de DBO5 entrant en biologique</v>
          </cell>
          <cell r="C574" t="str">
            <v>Remind of BOD load at biological inlet</v>
          </cell>
          <cell r="D574" t="str">
            <v>Recuerdo flujo de DBO en la entrada del biológico</v>
          </cell>
        </row>
        <row r="575">
          <cell r="A575" t="str">
            <v>m0704</v>
          </cell>
          <cell r="B575" t="str">
            <v>Rappel flux de NTK nitrifié en N-NO3</v>
          </cell>
          <cell r="C575" t="str">
            <v>Remind of nitrified TKN load</v>
          </cell>
          <cell r="D575" t="str">
            <v>Recuerdo flujo de NTK nitrificado en N-NO3</v>
          </cell>
        </row>
        <row r="576">
          <cell r="A576" t="str">
            <v>m0705</v>
          </cell>
          <cell r="B576" t="str">
            <v>Rappel charge massique MV</v>
          </cell>
          <cell r="C576" t="str">
            <v>Remind of F/M ratio (VS)</v>
          </cell>
          <cell r="D576" t="str">
            <v>Recuerdo de la carga másica SV</v>
          </cell>
        </row>
        <row r="577">
          <cell r="A577" t="str">
            <v>m0706</v>
          </cell>
          <cell r="B577" t="str">
            <v>Coefficient a' (croissance cellulaire)</v>
          </cell>
          <cell r="C577" t="str">
            <v>Coefficient a' (cellular growth)</v>
          </cell>
          <cell r="D577" t="str">
            <v>Coeficiente a' (crecimiento celular)</v>
          </cell>
        </row>
        <row r="578">
          <cell r="A578" t="str">
            <v>m0707</v>
          </cell>
          <cell r="B578" t="str">
            <v>Coefficient b' (respiration endogène)</v>
          </cell>
          <cell r="C578" t="str">
            <v>Coefficient b' (endogenous respiration)</v>
          </cell>
          <cell r="D578" t="str">
            <v>Coeficiente b' (respiración endogena)</v>
          </cell>
        </row>
        <row r="579">
          <cell r="A579" t="str">
            <v>m0708</v>
          </cell>
          <cell r="B579" t="str">
            <v>Coefficient des besoins courants en O2 en nitrification</v>
          </cell>
          <cell r="C579" t="str">
            <v>Coefficient for commun needs in nitrification</v>
          </cell>
          <cell r="D579" t="str">
            <v>Coeficiente de las necesidades de oxigeno en nitrificación</v>
          </cell>
        </row>
        <row r="580">
          <cell r="A580" t="str">
            <v>m0709</v>
          </cell>
          <cell r="B580" t="str">
            <v>Besoins en O2 journalier</v>
          </cell>
          <cell r="C580" t="str">
            <v>Diary oxygen needs</v>
          </cell>
          <cell r="D580" t="str">
            <v>Necesidades de oxígeno diarias</v>
          </cell>
        </row>
        <row r="581">
          <cell r="A581" t="str">
            <v>m0710</v>
          </cell>
          <cell r="B581" t="str">
            <v>* pour la croissance cellulaire</v>
          </cell>
          <cell r="C581" t="str">
            <v>* for celular growth</v>
          </cell>
          <cell r="D581" t="str">
            <v>* para el crecimiento celular</v>
          </cell>
        </row>
        <row r="582">
          <cell r="A582" t="str">
            <v>m0711</v>
          </cell>
          <cell r="B582" t="str">
            <v>* pour la respiration endogène</v>
          </cell>
          <cell r="C582" t="str">
            <v>* for endogenous respiration</v>
          </cell>
          <cell r="D582" t="str">
            <v>* para la respiración endogena</v>
          </cell>
        </row>
        <row r="583">
          <cell r="A583" t="str">
            <v>m0712</v>
          </cell>
          <cell r="B583" t="str">
            <v>* pour la pollution azotée</v>
          </cell>
          <cell r="C583" t="str">
            <v>* for nitrogenous polution</v>
          </cell>
          <cell r="D583" t="str">
            <v>* para la polución nitrogena</v>
          </cell>
        </row>
        <row r="584">
          <cell r="A584" t="str">
            <v>m0713</v>
          </cell>
          <cell r="B584" t="str">
            <v>taux de récupération admis</v>
          </cell>
          <cell r="C584" t="str">
            <v>Recovery rate</v>
          </cell>
          <cell r="D584" t="str">
            <v>% de recuperación efectivo</v>
          </cell>
        </row>
        <row r="585">
          <cell r="A585" t="str">
            <v>m0714</v>
          </cell>
          <cell r="B585" t="str">
            <v>* récupération par dénitrification</v>
          </cell>
          <cell r="C585" t="str">
            <v>* recovery with denitrification</v>
          </cell>
          <cell r="D585" t="str">
            <v>* recuperación con la denitrificación</v>
          </cell>
        </row>
        <row r="586">
          <cell r="A586" t="str">
            <v>m0715</v>
          </cell>
          <cell r="B586" t="str">
            <v>Besoins effectifs journaliers</v>
          </cell>
          <cell r="C586" t="str">
            <v>Diary effective needs</v>
          </cell>
          <cell r="D586" t="str">
            <v>Necesidades efectivas diarias</v>
          </cell>
        </row>
        <row r="587">
          <cell r="A587" t="str">
            <v>m0716</v>
          </cell>
          <cell r="B587" t="str">
            <v>Besoins en O2 en pointe horaire</v>
          </cell>
          <cell r="C587" t="str">
            <v>Hourly peak needs</v>
          </cell>
          <cell r="D587" t="str">
            <v>Necesidades en O2 de punta horaria</v>
          </cell>
        </row>
        <row r="588">
          <cell r="A588" t="str">
            <v>m0717</v>
          </cell>
          <cell r="B588" t="str">
            <v>Coefficient de pointe sur C et N théorique</v>
          </cell>
          <cell r="C588" t="str">
            <v>Peak coefficient on C and N theorical</v>
          </cell>
          <cell r="D588" t="str">
            <v>Coeficiente de punta sobre C y N teorico</v>
          </cell>
        </row>
        <row r="589">
          <cell r="A589" t="str">
            <v>m0717a</v>
          </cell>
          <cell r="B589" t="str">
            <v>Coefficient de pointe sur C et N retenu</v>
          </cell>
          <cell r="C589" t="str">
            <v>Peak coefficient on C and N chosen</v>
          </cell>
          <cell r="D589" t="str">
            <v>Coeficiente de punta sobre C y N elejido</v>
          </cell>
        </row>
        <row r="590">
          <cell r="A590" t="str">
            <v>m0718</v>
          </cell>
          <cell r="B590" t="str">
            <v>Besoins effectifs de pointe horaire</v>
          </cell>
          <cell r="C590" t="str">
            <v>Effective hourly peak needs</v>
          </cell>
          <cell r="D590" t="str">
            <v>Necesidades efectivos de punta horaria</v>
          </cell>
        </row>
        <row r="591">
          <cell r="A591" t="str">
            <v>m0719</v>
          </cell>
          <cell r="B591" t="str">
            <v>Besoin horaire pendant la période d'aération</v>
          </cell>
          <cell r="C591" t="str">
            <v>Hourly need during aeration period</v>
          </cell>
          <cell r="D591" t="str">
            <v>Necesidades horarias durante el oxigenación</v>
          </cell>
        </row>
        <row r="592">
          <cell r="A592" t="str">
            <v>m0720</v>
          </cell>
          <cell r="B592" t="str">
            <v>Besoins en O2 à retenir pour la capacité de l'aération:</v>
          </cell>
          <cell r="C592" t="str">
            <v>Oxygen needs to use for aeration capacity</v>
          </cell>
          <cell r="D592" t="str">
            <v>Necesidades en O2 a prever para la capacidad del oxigenación</v>
          </cell>
        </row>
        <row r="593">
          <cell r="A593" t="str">
            <v>m0721</v>
          </cell>
          <cell r="B593" t="str">
            <v>Pour déterminer les besoins en air, il est nécessaire de tenir compte du coeff de transfert global,</v>
          </cell>
          <cell r="C593" t="str">
            <v>To determine air needs, it is necessary to take into account global transfert coeff,</v>
          </cell>
          <cell r="D593" t="str">
            <v>Para determinar las necessidades de aire, hay que tener en cuenta el coeff de transfero global,</v>
          </cell>
        </row>
        <row r="594">
          <cell r="A594" t="str">
            <v>m0722</v>
          </cell>
          <cell r="B594" t="str">
            <v>du rendement du système d'aération  et du rapport oxygène / air</v>
          </cell>
          <cell r="C594" t="str">
            <v>aeration system efficiency and oxygen/air ratio</v>
          </cell>
          <cell r="D594" t="str">
            <v>del rendimiento del sistemo de oxigenación y de la relación oxigeno/aire</v>
          </cell>
        </row>
        <row r="595">
          <cell r="A595" t="str">
            <v>m0723</v>
          </cell>
          <cell r="B595" t="str">
            <v>Se référer à la note de calcul "aération.xls"</v>
          </cell>
          <cell r="C595" t="str">
            <v>Use calculation note "aération.xls"</v>
          </cell>
          <cell r="D595" t="str">
            <v>Utilizar la nota de calculo"aeration.xls"</v>
          </cell>
        </row>
        <row r="596">
          <cell r="A596" t="str">
            <v>m0724</v>
          </cell>
          <cell r="B596" t="str">
            <v>Besoins nécessaires à la zone endogène</v>
          </cell>
          <cell r="C596" t="str">
            <v>Needs for endogenous zone</v>
          </cell>
          <cell r="D596" t="str">
            <v>Necessidades para la zona endogena</v>
          </cell>
        </row>
        <row r="597">
          <cell r="A597" t="str">
            <v>m0725</v>
          </cell>
          <cell r="B597" t="str">
            <v>Rappel du temps d'aération</v>
          </cell>
          <cell r="C597" t="str">
            <v>Remind of aeration time</v>
          </cell>
          <cell r="D597" t="str">
            <v>Recuerdo del tiempo de oxidación</v>
          </cell>
        </row>
        <row r="598">
          <cell r="A598" t="str">
            <v>m0800</v>
          </cell>
          <cell r="B598" t="str">
            <v>7. RECAPITULATIF DES VOLUMES</v>
          </cell>
          <cell r="C598" t="str">
            <v>7. SUMMARY OF THE VOLUMES</v>
          </cell>
          <cell r="D598" t="str">
            <v>7. RECAPITULO DE LOS VOLUMENES</v>
          </cell>
        </row>
        <row r="599">
          <cell r="A599" t="str">
            <v>m0801</v>
          </cell>
          <cell r="B599" t="str">
            <v>Récapitulatif des volumes</v>
          </cell>
          <cell r="C599" t="str">
            <v>Summary of the volumes</v>
          </cell>
          <cell r="D599" t="str">
            <v>Recapitulo de los volumenes</v>
          </cell>
        </row>
        <row r="600">
          <cell r="A600" t="str">
            <v>m0802</v>
          </cell>
          <cell r="B600" t="str">
            <v>Volume anaérobie </v>
          </cell>
          <cell r="C600" t="str">
            <v>Anaerobic volume </v>
          </cell>
          <cell r="D600" t="str">
            <v>Volumen anaerobia</v>
          </cell>
        </row>
        <row r="601">
          <cell r="A601" t="str">
            <v>m0803</v>
          </cell>
          <cell r="B601" t="str">
            <v>Volume aéré</v>
          </cell>
          <cell r="C601" t="str">
            <v>Aerated volume</v>
          </cell>
          <cell r="D601" t="str">
            <v>Volumen oxigenado</v>
          </cell>
        </row>
        <row r="602">
          <cell r="A602" t="str">
            <v>m0804</v>
          </cell>
          <cell r="B602" t="str">
            <v>Volume anoxie </v>
          </cell>
          <cell r="C602" t="str">
            <v>Anoxic volume </v>
          </cell>
          <cell r="D602" t="str">
            <v>Volumen anóxico </v>
          </cell>
        </row>
        <row r="603">
          <cell r="A603" t="str">
            <v>m0805</v>
          </cell>
          <cell r="B603" t="str">
            <v>Volume endogène</v>
          </cell>
          <cell r="C603" t="str">
            <v>Endogenous volume</v>
          </cell>
          <cell r="D603" t="str">
            <v>Volumen endogeno</v>
          </cell>
        </row>
        <row r="604">
          <cell r="A604" t="str">
            <v>m0806</v>
          </cell>
          <cell r="B604" t="str">
            <v>Volume de pré-anoxie</v>
          </cell>
          <cell r="C604" t="str">
            <v>Pre-anoxic volume</v>
          </cell>
          <cell r="D604" t="str">
            <v>Volumen pre-anoxico</v>
          </cell>
        </row>
        <row r="605">
          <cell r="A605" t="str">
            <v>m0807</v>
          </cell>
          <cell r="B605" t="str">
            <v>Volume hors anaérobie</v>
          </cell>
          <cell r="C605" t="str">
            <v>Volume without anaerobic</v>
          </cell>
          <cell r="D605" t="str">
            <v>Volumen sin anaerobia</v>
          </cell>
        </row>
        <row r="606">
          <cell r="A606" t="str">
            <v>m0808</v>
          </cell>
          <cell r="B606" t="str">
            <v>Volume total</v>
          </cell>
          <cell r="C606" t="str">
            <v>Total volume</v>
          </cell>
          <cell r="D606" t="str">
            <v>Volumen total</v>
          </cell>
        </row>
        <row r="607">
          <cell r="A607" t="str">
            <v>m0809</v>
          </cell>
          <cell r="B607" t="str">
            <v>dont Volume zone de contact</v>
          </cell>
          <cell r="C607" t="str">
            <v>of which Contact zone volume</v>
          </cell>
          <cell r="D607" t="str">
            <v>del cual Volumen zona de contacto</v>
          </cell>
        </row>
        <row r="608">
          <cell r="A608" t="str">
            <v>m0810</v>
          </cell>
          <cell r="B608" t="str">
            <v>Volume du chenal</v>
          </cell>
          <cell r="C608" t="str">
            <v>Oxidation ditch volume</v>
          </cell>
          <cell r="D608" t="str">
            <v>Volumen del canal de oxidación</v>
          </cell>
        </row>
        <row r="609">
          <cell r="A609" t="str">
            <v>m0811</v>
          </cell>
        </row>
        <row r="610">
          <cell r="A610" t="str">
            <v>m0812</v>
          </cell>
        </row>
        <row r="611">
          <cell r="A611" t="str">
            <v>m0813</v>
          </cell>
        </row>
        <row r="612">
          <cell r="A612" t="str">
            <v>m0814</v>
          </cell>
        </row>
        <row r="613">
          <cell r="A613" t="str">
            <v>m0815</v>
          </cell>
        </row>
        <row r="614">
          <cell r="A614" t="str">
            <v>m0816</v>
          </cell>
        </row>
        <row r="615">
          <cell r="A615" t="str">
            <v>m0817</v>
          </cell>
        </row>
        <row r="616">
          <cell r="A616" t="str">
            <v>m0818</v>
          </cell>
        </row>
        <row r="617">
          <cell r="A617" t="str">
            <v>m1000</v>
          </cell>
          <cell r="B617" t="str">
            <v>8. PRODUCTION DE BOUES BIOLOGIQUES</v>
          </cell>
          <cell r="C617" t="str">
            <v>8. BIOLOGICAL SLUDGE PRODUCCION</v>
          </cell>
          <cell r="D617" t="str">
            <v>8. PRODUCCION DE FANGOS BIOLOGICOS</v>
          </cell>
        </row>
        <row r="618">
          <cell r="A618" t="str">
            <v>m1000b</v>
          </cell>
          <cell r="B618" t="str">
            <v>Production de boues biologiques</v>
          </cell>
          <cell r="C618" t="str">
            <v>Biological sludge production</v>
          </cell>
          <cell r="D618" t="str">
            <v>Producción de fangos biológicos</v>
          </cell>
        </row>
        <row r="619">
          <cell r="A619" t="str">
            <v>m1001</v>
          </cell>
          <cell r="B619" t="str">
            <v>Rappel du rapport MES/DBO en biologie</v>
          </cell>
          <cell r="C619" t="str">
            <v>Remind of SST/BOD ratio </v>
          </cell>
          <cell r="D619" t="str">
            <v>Recuerdo de la relación SST/DBO en el biológico</v>
          </cell>
        </row>
        <row r="620">
          <cell r="A620" t="str">
            <v>m1002</v>
          </cell>
          <cell r="B620" t="str">
            <v>pour voir le détail des calculs, cliquer sur +</v>
          </cell>
          <cell r="C620" t="str">
            <v>to see the details of the calculs, click on +</v>
          </cell>
          <cell r="D620" t="str">
            <v>para ver los detalles de les calculos, abrir con +</v>
          </cell>
        </row>
        <row r="621">
          <cell r="A621" t="str">
            <v>m1003</v>
          </cell>
          <cell r="B621" t="str">
            <v>Calcul du coeff b (fct de CmMV et T°)</v>
          </cell>
          <cell r="C621" t="str">
            <v>Calcul of coeff b ( fct de CmMV y T°)</v>
          </cell>
          <cell r="D621" t="str">
            <v>Calculo del coeff b ( fct de CmMV y T°)</v>
          </cell>
        </row>
        <row r="622">
          <cell r="A622" t="str">
            <v>m1004</v>
          </cell>
          <cell r="B622" t="str">
            <v>Masse de boue (MV) dans le système hors clarif</v>
          </cell>
          <cell r="C622" t="str">
            <v>Sludge load (VS) in the reactor without clarif</v>
          </cell>
          <cell r="D622" t="str">
            <v>Cantidad de fango (SV) en el reactor sin el clarif</v>
          </cell>
        </row>
        <row r="623">
          <cell r="A623" t="str">
            <v>m1004a</v>
          </cell>
          <cell r="B623" t="str">
            <v>Masse de boue (MV) dans le système avec clarif</v>
          </cell>
          <cell r="C623" t="str">
            <v>Sludge load (VS) in the reactor with clarif</v>
          </cell>
          <cell r="D623" t="str">
            <v>Cantidad de fango (SV) en el reactor con el clarif</v>
          </cell>
        </row>
        <row r="624">
          <cell r="A624" t="str">
            <v>m1005</v>
          </cell>
          <cell r="B624" t="str">
            <v>Taux de biomasse active dans le bassin</v>
          </cell>
          <cell r="C624" t="str">
            <v>Active biomass rate in the tank</v>
          </cell>
          <cell r="D624" t="str">
            <v>% de biomasa activa en el tanque</v>
          </cell>
        </row>
        <row r="625">
          <cell r="A625" t="str">
            <v>m1005b</v>
          </cell>
          <cell r="B625" t="str">
            <v>Masse de biomasse active dans le bassin</v>
          </cell>
          <cell r="C625" t="str">
            <v>Active biomass load in the tank</v>
          </cell>
          <cell r="D625" t="str">
            <v>Cantidad de biomasa activa en el tanque</v>
          </cell>
        </row>
        <row r="626">
          <cell r="A626" t="str">
            <v>m1006</v>
          </cell>
          <cell r="B626" t="str">
            <v>Matières minérales (Sm)</v>
          </cell>
          <cell r="C626" t="str">
            <v>Mineral matter</v>
          </cell>
          <cell r="D626" t="str">
            <v>Substancias minerales</v>
          </cell>
        </row>
        <row r="627">
          <cell r="A627" t="str">
            <v>m1007</v>
          </cell>
          <cell r="B627" t="str">
            <v>Matières org. non biodégradable</v>
          </cell>
          <cell r="C627" t="str">
            <v>Unbiodegradable org. matter</v>
          </cell>
          <cell r="D627" t="str">
            <v>Substancias org. no biodegradable</v>
          </cell>
        </row>
        <row r="628">
          <cell r="A628" t="str">
            <v>m1008</v>
          </cell>
          <cell r="B628" t="str">
            <v>Matières org. de la dégradation de la biomasse</v>
          </cell>
          <cell r="C628" t="str">
            <v>Org. matter from biomass degradation</v>
          </cell>
          <cell r="D628" t="str">
            <v>Substancias org. de la degradación de la biomasa</v>
          </cell>
        </row>
        <row r="629">
          <cell r="A629" t="str">
            <v>m1009</v>
          </cell>
          <cell r="B629" t="str">
            <v>Synthétisation de la DBO5</v>
          </cell>
          <cell r="C629" t="str">
            <v>BOD synthesis</v>
          </cell>
          <cell r="D629" t="str">
            <v>Sintetización de la DBO5</v>
          </cell>
        </row>
        <row r="630">
          <cell r="A630" t="str">
            <v>m1010</v>
          </cell>
          <cell r="B630" t="str">
            <v>Respiration endogène</v>
          </cell>
          <cell r="C630" t="str">
            <v>Endogenous respiration</v>
          </cell>
          <cell r="D630" t="str">
            <v>Respiración endogena</v>
          </cell>
        </row>
        <row r="631">
          <cell r="A631" t="str">
            <v>m1011</v>
          </cell>
          <cell r="B631" t="str">
            <v>Matières organiques issues de la nitrification</v>
          </cell>
          <cell r="C631" t="str">
            <v>Org. matter from nitrification</v>
          </cell>
          <cell r="D631" t="str">
            <v>Substancias org resultantes de la nitrificación</v>
          </cell>
        </row>
        <row r="632">
          <cell r="A632" t="str">
            <v>m1012</v>
          </cell>
          <cell r="B632" t="str">
            <v>Production de boues biologiques</v>
          </cell>
          <cell r="C632" t="str">
            <v>Biological sludge production</v>
          </cell>
          <cell r="D632" t="str">
            <v>Producción de fangos biológicos</v>
          </cell>
        </row>
        <row r="633">
          <cell r="A633" t="str">
            <v>m1013</v>
          </cell>
          <cell r="B633" t="str">
            <v>Taux de MV dans les boues biologiques</v>
          </cell>
          <cell r="C633" t="str">
            <v>% SV in biological sludge</v>
          </cell>
          <cell r="D633" t="str">
            <v>% SV en los fangos biológicos</v>
          </cell>
        </row>
        <row r="634">
          <cell r="A634" t="str">
            <v>m1014</v>
          </cell>
          <cell r="B634" t="str">
            <v>Taux de production de boues (fct DBO entrante)</v>
          </cell>
          <cell r="C634" t="str">
            <v>Sludge production rate (fct BOD inlet)</v>
          </cell>
          <cell r="D634" t="str">
            <v>Indice de producción de fangos ( fct DBO entrada)</v>
          </cell>
        </row>
        <row r="635">
          <cell r="A635" t="str">
            <v>m1015</v>
          </cell>
          <cell r="B635" t="str">
            <v>Age de boues bio sur volume biologique total</v>
          </cell>
          <cell r="C635" t="str">
            <v>SRT on total biological volume</v>
          </cell>
          <cell r="D635" t="str">
            <v>Edad de fango bio en el volumen biológico total</v>
          </cell>
        </row>
        <row r="636">
          <cell r="A636" t="str">
            <v>m1016</v>
          </cell>
          <cell r="B636" t="str">
            <v>Production de boues déphosphatantes</v>
          </cell>
          <cell r="C636" t="str">
            <v>P removal sludge production</v>
          </cell>
          <cell r="D636" t="str">
            <v>Producción de fangos de la defosfatación</v>
          </cell>
        </row>
        <row r="637">
          <cell r="A637" t="str">
            <v>m1016a</v>
          </cell>
          <cell r="B637" t="str">
            <v>Taux de MV dans les boues déphosphatantes</v>
          </cell>
          <cell r="C637" t="str">
            <v>% SV in P removal sludge</v>
          </cell>
          <cell r="D637" t="str">
            <v>% VS en los fangos de la defosfatación</v>
          </cell>
        </row>
        <row r="638">
          <cell r="A638" t="str">
            <v>m1016b</v>
          </cell>
        </row>
        <row r="639">
          <cell r="A639" t="str">
            <v>m1016c</v>
          </cell>
        </row>
        <row r="640">
          <cell r="A640" t="str">
            <v>m1017</v>
          </cell>
          <cell r="B640" t="str">
            <v>Production de boues secondaires totales</v>
          </cell>
          <cell r="C640" t="str">
            <v>Total secondary sludge production</v>
          </cell>
          <cell r="D640" t="str">
            <v>Producción de fangos segundos totales</v>
          </cell>
        </row>
        <row r="641">
          <cell r="A641" t="str">
            <v>m1018</v>
          </cell>
          <cell r="B641" t="str">
            <v>Taux de MV dans les boues secondaires totales</v>
          </cell>
          <cell r="C641" t="str">
            <v>% SV in total sludge</v>
          </cell>
          <cell r="D641" t="str">
            <v>% VS en los fangos totales</v>
          </cell>
        </row>
        <row r="642">
          <cell r="A642" t="str">
            <v>m1019</v>
          </cell>
          <cell r="B642" t="str">
            <v>Conc. moy. en MES envisagée sortie clarif</v>
          </cell>
          <cell r="C642" t="str">
            <v>Average SST conc forecast at clarifier outlet</v>
          </cell>
          <cell r="D642" t="str">
            <v>Conc. media en SST prevista en la salida del clarificador</v>
          </cell>
        </row>
        <row r="643">
          <cell r="A643" t="str">
            <v>m1020</v>
          </cell>
          <cell r="B643" t="str">
            <v>Conc. pointe en MES envisagée sortie clarif</v>
          </cell>
          <cell r="C643" t="str">
            <v>Peak SST conc forecast at clarifier outlet</v>
          </cell>
          <cell r="D643" t="str">
            <v>Conc. punta en SST prevista en la salida del clarificador</v>
          </cell>
        </row>
        <row r="644">
          <cell r="A644" t="str">
            <v>m1021</v>
          </cell>
          <cell r="B644" t="str">
            <v>Flux moyen MES au rejet</v>
          </cell>
          <cell r="C644" t="str">
            <v>Average SST load at the outlet</v>
          </cell>
          <cell r="D644" t="str">
            <v>Flujo medio SST agua tratada</v>
          </cell>
        </row>
        <row r="645">
          <cell r="A645" t="str">
            <v>m1022</v>
          </cell>
          <cell r="B645" t="str">
            <v>Boues secondaires en excès à traiter</v>
          </cell>
          <cell r="C645" t="str">
            <v>Excess sludge to be treated</v>
          </cell>
          <cell r="D645" t="str">
            <v>Fangos en exceso a tratar</v>
          </cell>
        </row>
        <row r="646">
          <cell r="A646" t="str">
            <v>m1023</v>
          </cell>
          <cell r="B646" t="str">
            <v>Teneur des boues à traiter</v>
          </cell>
          <cell r="C646" t="str">
            <v>Sludge matter content </v>
          </cell>
          <cell r="D646" t="str">
            <v>Proporción de los fangos a tratar</v>
          </cell>
        </row>
        <row r="647">
          <cell r="A647" t="str">
            <v>m1024</v>
          </cell>
          <cell r="B647" t="str">
            <v>Teneur en N /MS</v>
          </cell>
          <cell r="C647" t="str">
            <v>N content /SS</v>
          </cell>
          <cell r="D647" t="str">
            <v>Proporción en N /SS</v>
          </cell>
        </row>
        <row r="648">
          <cell r="A648" t="str">
            <v>m1025</v>
          </cell>
          <cell r="B648" t="str">
            <v>Teneur en P /MS</v>
          </cell>
          <cell r="C648" t="str">
            <v>P content /SS</v>
          </cell>
          <cell r="D648" t="str">
            <v>Proporción en P /SS</v>
          </cell>
        </row>
        <row r="649">
          <cell r="A649" t="str">
            <v>m1026</v>
          </cell>
          <cell r="B649" t="str">
            <v>Autres boues ( tertiaire, C externe, biomaster)</v>
          </cell>
          <cell r="C649" t="str">
            <v>Other sludge (tertiary, external C, biomaster)</v>
          </cell>
          <cell r="D649" t="str">
            <v>Otros fangos (tertiarios, C externo, biomaster)</v>
          </cell>
        </row>
        <row r="650">
          <cell r="A650" t="str">
            <v>m1027</v>
          </cell>
          <cell r="B650" t="str">
            <v>Taux de MV dans les boues à traiter</v>
          </cell>
          <cell r="C650" t="str">
            <v>% SV in sludge to be treated</v>
          </cell>
          <cell r="D650" t="str">
            <v>% SV en los fangos a tratar</v>
          </cell>
        </row>
        <row r="651">
          <cell r="A651" t="str">
            <v>m1028</v>
          </cell>
        </row>
        <row r="652">
          <cell r="A652" t="str">
            <v>m1050</v>
          </cell>
          <cell r="B652" t="str">
            <v>9. RECIRCULATION DES BOUES DU CLARIFICATEUR</v>
          </cell>
          <cell r="C652" t="str">
            <v>9. SLUDGE RECIRCULATION FROM CLARIFIER</v>
          </cell>
          <cell r="D652" t="str">
            <v>9. RECIRCULACION DE FANGOS DEL CLARIFICADOR</v>
          </cell>
        </row>
        <row r="653">
          <cell r="A653" t="str">
            <v>m1051</v>
          </cell>
          <cell r="B653" t="str">
            <v>Indice de Boue</v>
          </cell>
          <cell r="C653" t="str">
            <v>Sludge index</v>
          </cell>
          <cell r="D653" t="str">
            <v>Indice de fangos</v>
          </cell>
        </row>
        <row r="654">
          <cell r="A654" t="str">
            <v>m1051b</v>
          </cell>
          <cell r="B654" t="str">
            <v>Indice de Boue conseillé</v>
          </cell>
          <cell r="C654" t="str">
            <v>Proposed sludge index</v>
          </cell>
          <cell r="D654" t="str">
            <v>Indice de fangos aconsejado</v>
          </cell>
        </row>
        <row r="655">
          <cell r="A655" t="str">
            <v>m1052</v>
          </cell>
          <cell r="B655" t="str">
            <v>Concentration maxi dans le clarif</v>
          </cell>
          <cell r="C655" t="str">
            <v>Maxi conc in clarifier</v>
          </cell>
          <cell r="D655" t="str">
            <v>Concentración maxi en el clarificador</v>
          </cell>
        </row>
        <row r="656">
          <cell r="A656" t="str">
            <v>m1053</v>
          </cell>
          <cell r="B656" t="str">
            <v>recirc. insuffisante !</v>
          </cell>
          <cell r="C656" t="str">
            <v>recirc. too low !</v>
          </cell>
          <cell r="D656" t="str">
            <v>recirc insufisante !</v>
          </cell>
        </row>
        <row r="657">
          <cell r="A657" t="str">
            <v>m1054</v>
          </cell>
          <cell r="B657" t="str">
            <v>Taux de recirculation minimum</v>
          </cell>
          <cell r="C657" t="str">
            <v>Minimum recirculation rate</v>
          </cell>
          <cell r="D657" t="str">
            <v>Porcentaje de recirc minimun</v>
          </cell>
        </row>
        <row r="658">
          <cell r="A658" t="str">
            <v>m1054b</v>
          </cell>
          <cell r="B658" t="str">
            <v>Taux de recirculation maximum</v>
          </cell>
          <cell r="C658" t="str">
            <v>Maximum recirculation rate</v>
          </cell>
          <cell r="D658" t="str">
            <v>Porcentaje de recirc maximun</v>
          </cell>
        </row>
        <row r="659">
          <cell r="A659" t="str">
            <v>m1055</v>
          </cell>
          <cell r="B659" t="str">
            <v>Taux de recirculation retenu</v>
          </cell>
          <cell r="C659" t="str">
            <v>Chosen recirculation rate</v>
          </cell>
          <cell r="D659" t="str">
            <v>Porcentaje de recirc elejido</v>
          </cell>
        </row>
        <row r="660">
          <cell r="A660" t="str">
            <v>m1056</v>
          </cell>
          <cell r="B660" t="str">
            <v>soit une concentration en extraction</v>
          </cell>
          <cell r="C660" t="str">
            <v>so extraction recirculation</v>
          </cell>
          <cell r="D660" t="str">
            <v>entonces conc en extracción</v>
          </cell>
        </row>
        <row r="661">
          <cell r="A661" t="str">
            <v>m1057</v>
          </cell>
          <cell r="B661" t="str">
            <v>taux de recirc. trop faible !</v>
          </cell>
          <cell r="C661" t="str">
            <v>recirc. too low !</v>
          </cell>
          <cell r="D661" t="str">
            <v>% recirc muy bajo !</v>
          </cell>
        </row>
        <row r="662">
          <cell r="A662" t="str">
            <v>m1058</v>
          </cell>
          <cell r="B662" t="str">
            <v>revoir vitesse !</v>
          </cell>
          <cell r="C662" t="str">
            <v>check velocity !</v>
          </cell>
          <cell r="D662" t="str">
            <v>cambiar velocidad !</v>
          </cell>
        </row>
        <row r="663">
          <cell r="A663" t="str">
            <v>m1059</v>
          </cell>
          <cell r="B663" t="str">
            <v>revoir diam. !</v>
          </cell>
          <cell r="C663" t="str">
            <v>check diam !</v>
          </cell>
          <cell r="D663" t="str">
            <v>cambiar diametro !</v>
          </cell>
        </row>
        <row r="664">
          <cell r="A664" t="str">
            <v>m1060</v>
          </cell>
          <cell r="B664" t="str">
            <v>revoir H eau !</v>
          </cell>
          <cell r="C664" t="str">
            <v>check Hwater !</v>
          </cell>
          <cell r="D664" t="str">
            <v>cambiar H agua !</v>
          </cell>
        </row>
        <row r="665">
          <cell r="A665" t="str">
            <v>m1100</v>
          </cell>
          <cell r="B665" t="str">
            <v>10. CLARIFICATEUR</v>
          </cell>
          <cell r="C665" t="str">
            <v>10. CLARIFIER</v>
          </cell>
          <cell r="D665" t="str">
            <v>10. CLARIFICADOR</v>
          </cell>
        </row>
        <row r="666">
          <cell r="A666" t="str">
            <v>m1100b</v>
          </cell>
          <cell r="B666" t="str">
            <v>Clarificateur</v>
          </cell>
          <cell r="C666" t="str">
            <v>Clarifier</v>
          </cell>
          <cell r="D666" t="str">
            <v>Clarificador</v>
          </cell>
        </row>
        <row r="667">
          <cell r="A667" t="str">
            <v>m1101</v>
          </cell>
          <cell r="B667" t="str">
            <v>Vitesse ascensionnelle maxi selon l'ATV</v>
          </cell>
          <cell r="C667" t="str">
            <v>Maxi upflow velocity according to ATV</v>
          </cell>
          <cell r="D667" t="str">
            <v>Velocidad ascensional maxi segun ATV</v>
          </cell>
        </row>
        <row r="668">
          <cell r="A668" t="str">
            <v>m1102</v>
          </cell>
          <cell r="B668" t="str">
            <v>Vitesse ascensionnelle maxi au fût retenue</v>
          </cell>
          <cell r="C668" t="str">
            <v>Chosen maxi upflow velocity at shaft</v>
          </cell>
          <cell r="D668" t="str">
            <v>Velocidad ascensional maxi elejida</v>
          </cell>
        </row>
        <row r="669">
          <cell r="A669" t="str">
            <v>m1103</v>
          </cell>
          <cell r="B669" t="str">
            <v>Dimensionnement du clarificateur sur le débit de pointe de pluie</v>
          </cell>
          <cell r="C669" t="str">
            <v>Clarifier design on rain weather peak flow</v>
          </cell>
          <cell r="D669" t="str">
            <v>Diseño del clarificador con el cuadal punta de lluvia</v>
          </cell>
        </row>
        <row r="670">
          <cell r="A670" t="str">
            <v>m1103b</v>
          </cell>
          <cell r="B670" t="str">
            <v>borné à 3.Qmoy; Prévoir un bassin d'orage ou densadeg pour le complément</v>
          </cell>
          <cell r="C670" t="str">
            <v>limited at 3.averF; Use a storm water tank or a Densadeg for the rest.</v>
          </cell>
          <cell r="D670" t="str">
            <v>limitado a 3 Qmedio; Prever un tanque de aguacero o Densadeg para el resto</v>
          </cell>
        </row>
        <row r="671">
          <cell r="A671" t="str">
            <v>m1104</v>
          </cell>
          <cell r="B671" t="str">
            <v>Surface de clarification minimum</v>
          </cell>
          <cell r="C671" t="str">
            <v>Minimum clarification area</v>
          </cell>
          <cell r="D671" t="str">
            <v>Superficie de clarificación mini</v>
          </cell>
        </row>
        <row r="672">
          <cell r="A672" t="str">
            <v>m1105</v>
          </cell>
          <cell r="B672" t="str">
            <v>Nombre d'ouvrages</v>
          </cell>
          <cell r="C672" t="str">
            <v>Number of clarifier</v>
          </cell>
          <cell r="D672" t="str">
            <v>Numero de obras</v>
          </cell>
        </row>
        <row r="673">
          <cell r="A673" t="str">
            <v>m1106</v>
          </cell>
          <cell r="B673" t="str">
            <v>Diamètre mini au fût</v>
          </cell>
          <cell r="C673" t="str">
            <v>Minimum diameter at the shaft</v>
          </cell>
          <cell r="D673" t="str">
            <v>Diametro mini de la obra</v>
          </cell>
        </row>
        <row r="674">
          <cell r="A674" t="str">
            <v>m1107</v>
          </cell>
          <cell r="B674" t="str">
            <v>Diamètre au fût retenu </v>
          </cell>
          <cell r="C674" t="str">
            <v>Chosen diameter at the shaft</v>
          </cell>
          <cell r="D674" t="str">
            <v>Diametro elejido</v>
          </cell>
        </row>
        <row r="675">
          <cell r="A675" t="str">
            <v>m1108</v>
          </cell>
          <cell r="B675" t="str">
            <v>Surface totale de décantation retenue</v>
          </cell>
          <cell r="C675" t="str">
            <v>Chosen decantation area</v>
          </cell>
          <cell r="D675" t="str">
            <v>Superficie total de decantación retenida</v>
          </cell>
        </row>
        <row r="676">
          <cell r="A676" t="str">
            <v>m1109</v>
          </cell>
          <cell r="B676" t="str">
            <v>Hauteur d'eau minimum</v>
          </cell>
          <cell r="C676" t="str">
            <v>Minimum water high</v>
          </cell>
          <cell r="D676" t="str">
            <v>Altura de agua minimum</v>
          </cell>
        </row>
        <row r="677">
          <cell r="A677" t="str">
            <v>m1109b</v>
          </cell>
          <cell r="B677" t="str">
            <v>Hauteur d'épaississement (H4 de l'ATV)</v>
          </cell>
          <cell r="C677" t="str">
            <v>Thickening high (H4 of ATV)</v>
          </cell>
          <cell r="D677" t="str">
            <v>Altura de especamiento (H4 del ATV)</v>
          </cell>
        </row>
        <row r="678">
          <cell r="A678" t="str">
            <v>m1110</v>
          </cell>
          <cell r="B678" t="str">
            <v>Hauteur d'eau moyenne retenue</v>
          </cell>
          <cell r="C678" t="str">
            <v>Chosen average water high</v>
          </cell>
          <cell r="D678" t="str">
            <v>Altura de agua media retenida</v>
          </cell>
        </row>
        <row r="679">
          <cell r="A679" t="str">
            <v>m1110b</v>
          </cell>
          <cell r="B679" t="str">
            <v>Volume du clarificateur</v>
          </cell>
          <cell r="C679" t="str">
            <v>Clarifier volume</v>
          </cell>
          <cell r="D679" t="str">
            <v>Volumen del clarificador</v>
          </cell>
        </row>
        <row r="680">
          <cell r="A680" t="str">
            <v>m1111</v>
          </cell>
          <cell r="B680" t="str">
            <v>Fonctionnement du clarificateur</v>
          </cell>
          <cell r="C680" t="str">
            <v>Clarifier operation</v>
          </cell>
          <cell r="D680" t="str">
            <v>Funcionamiento del clarificador</v>
          </cell>
        </row>
        <row r="681">
          <cell r="A681" t="str">
            <v>m1112</v>
          </cell>
          <cell r="B681" t="str">
            <v>Vitesse ascensionnelle au fût</v>
          </cell>
          <cell r="C681" t="str">
            <v>Upflow velocity at the shaft</v>
          </cell>
          <cell r="D681" t="str">
            <v>Velocidad ascensional</v>
          </cell>
        </row>
        <row r="682">
          <cell r="A682" t="str">
            <v>m1113</v>
          </cell>
          <cell r="B682" t="str">
            <v>en moyenne</v>
          </cell>
          <cell r="C682" t="str">
            <v>average</v>
          </cell>
          <cell r="D682" t="str">
            <v>media</v>
          </cell>
        </row>
        <row r="683">
          <cell r="A683" t="str">
            <v>m1114</v>
          </cell>
          <cell r="B683" t="str">
            <v>en pointe de temps sec</v>
          </cell>
          <cell r="C683" t="str">
            <v>dry weather peak flow</v>
          </cell>
          <cell r="D683" t="str">
            <v>punta de tiempo seco</v>
          </cell>
        </row>
        <row r="684">
          <cell r="A684" t="str">
            <v>m1115</v>
          </cell>
          <cell r="B684" t="str">
            <v>en pointe de temps de pluie</v>
          </cell>
          <cell r="C684" t="str">
            <v>rain weather peak flow</v>
          </cell>
          <cell r="D684" t="str">
            <v>punta de tiempo de lluvia</v>
          </cell>
        </row>
        <row r="685">
          <cell r="A685" t="str">
            <v>m1116</v>
          </cell>
          <cell r="B685" t="str">
            <v>Temps de séjour</v>
          </cell>
          <cell r="C685" t="str">
            <v>Retention time</v>
          </cell>
          <cell r="D685" t="str">
            <v>Tiempo de retención</v>
          </cell>
        </row>
        <row r="686">
          <cell r="A686" t="str">
            <v>m1117</v>
          </cell>
          <cell r="B686" t="str">
            <v>Charge au radier maxi au fût</v>
          </cell>
          <cell r="C686" t="str">
            <v>Maximum solids load at the shaft</v>
          </cell>
          <cell r="D686" t="str">
            <v>Carga superficial maxi</v>
          </cell>
        </row>
        <row r="687">
          <cell r="A687" t="str">
            <v>m1117a</v>
          </cell>
          <cell r="B687" t="str">
            <v>Dans le cas d'un clarificateur avec déversoir à l'intérieur, utiliser la Process Box Clarificateur.</v>
          </cell>
          <cell r="C687" t="str">
            <v>In case of a clarifier with an inside overflow, please use the Process Box Clarifier.</v>
          </cell>
          <cell r="D687" t="str">
            <v>En caso de un clarificador con vertedero en el interior, utilizar la Process Box Clarificador.</v>
          </cell>
        </row>
        <row r="688">
          <cell r="A688" t="str">
            <v>m1117b</v>
          </cell>
        </row>
        <row r="689">
          <cell r="A689" t="str">
            <v>m1118</v>
          </cell>
          <cell r="B689" t="str">
            <v>Surverse </v>
          </cell>
          <cell r="C689" t="str">
            <v>Overflow</v>
          </cell>
          <cell r="D689" t="str">
            <v>Lamina de agua decantada</v>
          </cell>
        </row>
        <row r="690">
          <cell r="A690" t="str">
            <v>m1119</v>
          </cell>
          <cell r="B690" t="str">
            <v>Concentration N-NO3 à l'entrée du clarificateur</v>
          </cell>
          <cell r="C690" t="str">
            <v>NO3-N conc at clarifier inlet</v>
          </cell>
          <cell r="D690" t="str">
            <v>Conc N-NO3 en la entrada del clarificador</v>
          </cell>
        </row>
        <row r="691">
          <cell r="A691" t="str">
            <v>m1120</v>
          </cell>
          <cell r="B691" t="str">
            <v>Concentration N-NO3 maxi admissible</v>
          </cell>
          <cell r="C691" t="str">
            <v>NO3-N conc maximum allowed</v>
          </cell>
          <cell r="D691" t="str">
            <v>Conc N-NO3 maxi admisible</v>
          </cell>
        </row>
        <row r="692">
          <cell r="A692" t="str">
            <v>m1121</v>
          </cell>
          <cell r="B692" t="str">
            <v>risque de flottation !</v>
          </cell>
          <cell r="C692" t="str">
            <v>flotation risk !</v>
          </cell>
          <cell r="D692" t="str">
            <v>Riesgo de flotación !</v>
          </cell>
        </row>
        <row r="693">
          <cell r="A693" t="str">
            <v>m1122</v>
          </cell>
          <cell r="B693" t="str">
            <v>Masse de boue participant au traitement biologique</v>
          </cell>
          <cell r="C693" t="str">
            <v>Sludge load involved in biological treatment</v>
          </cell>
          <cell r="D693" t="str">
            <v>Masa de fango interviendo en el tratamiento biológico</v>
          </cell>
        </row>
        <row r="694">
          <cell r="A694" t="str">
            <v>m1123</v>
          </cell>
          <cell r="B694" t="str">
            <v>Temps de séjour en épaississement</v>
          </cell>
          <cell r="C694" t="str">
            <v>Retention time in thickening</v>
          </cell>
          <cell r="D694" t="str">
            <v>Tiempo de retenciónen especamiento</v>
          </cell>
        </row>
        <row r="695">
          <cell r="A695" t="str">
            <v>m1124</v>
          </cell>
          <cell r="B695" t="str">
            <v>Concentration moyenne dans la zone d'épaississement</v>
          </cell>
          <cell r="C695" t="str">
            <v>Average conc in thickening zone</v>
          </cell>
          <cell r="D695" t="str">
            <v>Conc media en la zona de especamiento</v>
          </cell>
        </row>
        <row r="696">
          <cell r="A696" t="str">
            <v>m1125</v>
          </cell>
          <cell r="B696" t="str">
            <v>soit % de la masse de boue du système</v>
          </cell>
          <cell r="C696" t="str">
            <v>so % system sludge load</v>
          </cell>
          <cell r="D696" t="str">
            <v>es decir % de la masa de fango total</v>
          </cell>
        </row>
        <row r="697">
          <cell r="A697" t="str">
            <v>m1126</v>
          </cell>
          <cell r="B697" t="str">
            <v>Rappel débit pointe maxi admissible sur clarificateur</v>
          </cell>
          <cell r="C697" t="str">
            <v>Remind of maxi peak flow admited on clarifier</v>
          </cell>
          <cell r="D697" t="str">
            <v>Recuerda del cuadal punta maxi admitido on clarificador</v>
          </cell>
        </row>
        <row r="698">
          <cell r="A698" t="str">
            <v>m1127</v>
          </cell>
        </row>
        <row r="699">
          <cell r="A699" t="str">
            <v>m1200</v>
          </cell>
          <cell r="B699" t="str">
            <v>11. TRAITEMENT TERTIAIRE  </v>
          </cell>
          <cell r="C699" t="str">
            <v>11. TERTIARY TREATMENT</v>
          </cell>
          <cell r="D699" t="str">
            <v>11. TRATAMIENTO TERCERO</v>
          </cell>
        </row>
        <row r="700">
          <cell r="A700" t="str">
            <v>m1200a</v>
          </cell>
          <cell r="B700" t="str">
            <v>Traitement tertiaire </v>
          </cell>
          <cell r="C700" t="str">
            <v>Tertiary treatment</v>
          </cell>
          <cell r="D700" t="str">
            <v>Tratamiento tercero</v>
          </cell>
        </row>
        <row r="701">
          <cell r="A701" t="str">
            <v>m1201</v>
          </cell>
          <cell r="B701" t="str">
            <v>Type de traitement tertiaire ?</v>
          </cell>
          <cell r="C701" t="str">
            <v>Type of tertiary treatment ?</v>
          </cell>
          <cell r="D701" t="str">
            <v>¿Tipo de tratamiento tercera ?</v>
          </cell>
        </row>
        <row r="702">
          <cell r="A702" t="str">
            <v>m1202</v>
          </cell>
          <cell r="B702" t="str">
            <v>Densadeg</v>
          </cell>
          <cell r="C702" t="str">
            <v>Densadeg</v>
          </cell>
          <cell r="D702" t="str">
            <v>Densadeg</v>
          </cell>
        </row>
        <row r="703">
          <cell r="A703" t="str">
            <v>m1203</v>
          </cell>
          <cell r="B703" t="str">
            <v>Filtration </v>
          </cell>
          <cell r="C703" t="str">
            <v>Filtration </v>
          </cell>
          <cell r="D703" t="str">
            <v>Filtración </v>
          </cell>
        </row>
        <row r="704">
          <cell r="A704" t="str">
            <v>m1204</v>
          </cell>
          <cell r="B704" t="str">
            <v>aucun</v>
          </cell>
          <cell r="C704" t="str">
            <v>none</v>
          </cell>
          <cell r="D704" t="str">
            <v>ninguno</v>
          </cell>
        </row>
        <row r="705">
          <cell r="A705" t="str">
            <v>m1205</v>
          </cell>
          <cell r="B705" t="str">
            <v>Déphosphatation tertiaire</v>
          </cell>
          <cell r="C705" t="str">
            <v>Tertiary P removal</v>
          </cell>
          <cell r="D705" t="str">
            <v>Defosfatación tercero</v>
          </cell>
        </row>
        <row r="706">
          <cell r="A706" t="str">
            <v>m1206</v>
          </cell>
          <cell r="B706" t="str">
            <v>Débit journalier admis sur le tertiaire</v>
          </cell>
          <cell r="C706" t="str">
            <v>Daily flow on tertiary</v>
          </cell>
          <cell r="D706" t="str">
            <v>Cuadal diario admitido en el tercero</v>
          </cell>
        </row>
        <row r="707">
          <cell r="A707" t="str">
            <v>m1207</v>
          </cell>
          <cell r="B707" t="str">
            <v>Débit horaire maxi</v>
          </cell>
          <cell r="C707" t="str">
            <v>Maxi hourly flow</v>
          </cell>
          <cell r="D707" t="str">
            <v>Cuadal horario maxi</v>
          </cell>
        </row>
        <row r="708">
          <cell r="A708" t="str">
            <v>m1208</v>
          </cell>
          <cell r="B708" t="str">
            <v>Concentration P en entrée du tertiaire </v>
          </cell>
          <cell r="C708" t="str">
            <v>P conc at tertiary inlet </v>
          </cell>
          <cell r="D708" t="str">
            <v>Concentración P en la entrada del tercero </v>
          </cell>
        </row>
        <row r="709">
          <cell r="A709" t="str">
            <v>m1209</v>
          </cell>
          <cell r="B709" t="str">
            <v>Concentration de P insoluble</v>
          </cell>
          <cell r="C709" t="str">
            <v>Insoluble P conc</v>
          </cell>
          <cell r="D709" t="str">
            <v>Concentración de P insoluble</v>
          </cell>
        </row>
        <row r="710">
          <cell r="A710" t="str">
            <v>m1210</v>
          </cell>
          <cell r="B710" t="str">
            <v>Concentration de P soluble</v>
          </cell>
          <cell r="C710" t="str">
            <v>Soluble P conc</v>
          </cell>
          <cell r="D710" t="str">
            <v>Concentración de P soluble</v>
          </cell>
        </row>
        <row r="711">
          <cell r="A711" t="str">
            <v>m1211</v>
          </cell>
          <cell r="B711" t="str">
            <v>Concentration MES envisagée sortie tertiaire</v>
          </cell>
          <cell r="C711" t="str">
            <v>Evaluated SST conc at tertiary outlet</v>
          </cell>
          <cell r="D711" t="str">
            <v>Conc SST prevista en la salida en la salida del tercero</v>
          </cell>
        </row>
        <row r="712">
          <cell r="A712" t="str">
            <v>m1212</v>
          </cell>
          <cell r="B712" t="str">
            <v>Teneur en phosphore dans les MES au rejet</v>
          </cell>
          <cell r="C712" t="str">
            <v>P content in outlet SST</v>
          </cell>
          <cell r="D712" t="str">
            <v>Proporción de P en los SST agua tratada</v>
          </cell>
        </row>
        <row r="713">
          <cell r="A713" t="str">
            <v>m1213</v>
          </cell>
          <cell r="B713" t="str">
            <v>Phosphore insoluble sortie du tertiaire</v>
          </cell>
          <cell r="C713" t="str">
            <v>Insoluble P at tertiary outlet</v>
          </cell>
          <cell r="D713" t="str">
            <v>Fosforo insoluble salida tercero</v>
          </cell>
        </row>
        <row r="714">
          <cell r="A714" t="str">
            <v>m1214</v>
          </cell>
          <cell r="B714" t="str">
            <v>Objectif de qualité sur P à retenir </v>
          </cell>
          <cell r="C714" t="str">
            <v>Quality objective on P to get</v>
          </cell>
          <cell r="D714" t="str">
            <v>Objetivo de calidad sobre P a obtener</v>
          </cell>
        </row>
        <row r="715">
          <cell r="A715" t="str">
            <v>m1215</v>
          </cell>
          <cell r="B715" t="str">
            <v>Conc. P soluble maxi au rejet</v>
          </cell>
          <cell r="C715" t="str">
            <v>Maxi soluble P conc at outlet</v>
          </cell>
          <cell r="D715" t="str">
            <v>Conc P soluble maxi agua tratada</v>
          </cell>
        </row>
        <row r="716">
          <cell r="A716" t="str">
            <v>m1216</v>
          </cell>
          <cell r="B716" t="str">
            <v>soit un rendement d'élimination sur P soluble</v>
          </cell>
          <cell r="C716" t="str">
            <v>so elimination efficiency on soluble P</v>
          </cell>
          <cell r="D716" t="str">
            <v>entonces rendimiento de eliminación de P soluble</v>
          </cell>
        </row>
        <row r="717">
          <cell r="A717" t="str">
            <v>m1217</v>
          </cell>
          <cell r="B717" t="str">
            <v>Rapport molaire sur P sol</v>
          </cell>
          <cell r="C717" t="str">
            <v>Ratio of molar mass on P sol</v>
          </cell>
          <cell r="D717" t="str">
            <v>Relación molar sobre P sol</v>
          </cell>
        </row>
        <row r="718">
          <cell r="A718" t="str">
            <v>m1218</v>
          </cell>
          <cell r="B718" t="str">
            <v>Rappel conc. MES sortie biologique</v>
          </cell>
          <cell r="C718" t="str">
            <v>Remind SST conc biological outlet</v>
          </cell>
          <cell r="D718" t="str">
            <v>Recuerdo conc SST salida biológico</v>
          </cell>
        </row>
        <row r="719">
          <cell r="A719" t="str">
            <v>m1219</v>
          </cell>
          <cell r="B719" t="str">
            <v>Rappel conc. MES sortie tertiaire</v>
          </cell>
          <cell r="C719" t="str">
            <v>Remind SST conc tertiary outlet</v>
          </cell>
          <cell r="D719" t="str">
            <v>Recuerdo conc SST salida tercero</v>
          </cell>
        </row>
        <row r="720">
          <cell r="A720" t="str">
            <v>m1220</v>
          </cell>
          <cell r="B720" t="str">
            <v>MES retenus en tertiaire</v>
          </cell>
          <cell r="C720" t="str">
            <v>SST eliminated on tertiary</v>
          </cell>
          <cell r="D720" t="str">
            <v>SST eliminados en el tercero</v>
          </cell>
        </row>
        <row r="721">
          <cell r="A721" t="str">
            <v>m1221</v>
          </cell>
          <cell r="B721" t="str">
            <v>Production totale de boues de la déphos tertiaire</v>
          </cell>
          <cell r="C721" t="str">
            <v>Tertiary P removal' total sludge production</v>
          </cell>
          <cell r="D721" t="str">
            <v>Producción total de fangos de defosfatación tercera</v>
          </cell>
        </row>
        <row r="722">
          <cell r="A722" t="str">
            <v>m1222</v>
          </cell>
          <cell r="B722" t="str">
            <v>Taux de MV dans les boues tertiaires</v>
          </cell>
          <cell r="C722" t="str">
            <v>% SV in tertiary sludge</v>
          </cell>
          <cell r="D722" t="str">
            <v>% SV en los fangos terceros</v>
          </cell>
        </row>
        <row r="723">
          <cell r="A723" t="str">
            <v>m1223</v>
          </cell>
          <cell r="B723" t="str">
            <v>Injection des boues tertiaires dans le réacteur biologique</v>
          </cell>
          <cell r="C723" t="str">
            <v>Sending of tertiary sludge in biological reactor</v>
          </cell>
          <cell r="D723" t="str">
            <v>Inyección de fangos terceros en el reactor biológico</v>
          </cell>
        </row>
        <row r="724">
          <cell r="A724" t="str">
            <v>m1224</v>
          </cell>
          <cell r="B724" t="str">
            <v>Prévoir un autre lieu d'injection !</v>
          </cell>
          <cell r="C724" t="str">
            <v>Think in another injecion point !</v>
          </cell>
          <cell r="D724" t="str">
            <v>Prever otro lugar de inyección !</v>
          </cell>
        </row>
        <row r="725">
          <cell r="A725" t="str">
            <v>m1225</v>
          </cell>
          <cell r="B725" t="str">
            <v>Production de boues tertiaires</v>
          </cell>
          <cell r="C725" t="str">
            <v>Tertiary sludge production</v>
          </cell>
          <cell r="D725" t="str">
            <v>Producción de lodos tertiarios</v>
          </cell>
        </row>
        <row r="726">
          <cell r="A726" t="str">
            <v>m1226</v>
          </cell>
          <cell r="B726" t="str">
            <v>Dimensionnement Filtration</v>
          </cell>
          <cell r="C726" t="str">
            <v>Filtration design</v>
          </cell>
          <cell r="D726" t="str">
            <v>Diseño de la Filtración</v>
          </cell>
        </row>
        <row r="727">
          <cell r="A727" t="str">
            <v>m1227</v>
          </cell>
          <cell r="B727" t="str">
            <v>Vitesse de filtration maxi sur Qpointe</v>
          </cell>
          <cell r="C727" t="str">
            <v>Maxi filtration velocity on peak F</v>
          </cell>
          <cell r="D727" t="str">
            <v>Velocidad de filtración maxi sobre Qpunta</v>
          </cell>
        </row>
        <row r="728">
          <cell r="A728" t="str">
            <v>m1228</v>
          </cell>
          <cell r="B728" t="str">
            <v>Surface de filtation nécessaire</v>
          </cell>
          <cell r="C728" t="str">
            <v>Necessary filtration area</v>
          </cell>
          <cell r="D728" t="str">
            <v>Superficie de filtración necesaria</v>
          </cell>
        </row>
        <row r="729">
          <cell r="A729" t="str">
            <v>m1229</v>
          </cell>
          <cell r="B729" t="str">
            <v>Nb de filtres </v>
          </cell>
          <cell r="C729" t="str">
            <v>Nb of filters</v>
          </cell>
          <cell r="D729" t="str">
            <v>Numero de filtros</v>
          </cell>
        </row>
        <row r="730">
          <cell r="A730" t="str">
            <v>m1230</v>
          </cell>
          <cell r="B730" t="str">
            <v>Surface unitaire des filtres</v>
          </cell>
          <cell r="C730" t="str">
            <v>Unit area of the filters</v>
          </cell>
          <cell r="D730" t="str">
            <v>Superficie unitaria de los filtros</v>
          </cell>
        </row>
        <row r="731">
          <cell r="A731" t="str">
            <v>m1231</v>
          </cell>
          <cell r="B731" t="str">
            <v>Hauteur de matériau</v>
          </cell>
          <cell r="C731" t="str">
            <v>Material deep</v>
          </cell>
          <cell r="D731" t="str">
            <v>Altura del material</v>
          </cell>
        </row>
        <row r="732">
          <cell r="A732" t="str">
            <v>m1232</v>
          </cell>
          <cell r="B732" t="str">
            <v>Nombre de Densadeg</v>
          </cell>
          <cell r="C732" t="str">
            <v>Number of Densadeg</v>
          </cell>
          <cell r="D732" t="str">
            <v>Numero de Densadeg</v>
          </cell>
        </row>
        <row r="733">
          <cell r="A733" t="str">
            <v>m1233</v>
          </cell>
        </row>
        <row r="734">
          <cell r="A734" t="str">
            <v>m1234</v>
          </cell>
        </row>
        <row r="735">
          <cell r="A735" t="str">
            <v>m1235</v>
          </cell>
        </row>
        <row r="736">
          <cell r="A736" t="str">
            <v>m1236</v>
          </cell>
        </row>
        <row r="737">
          <cell r="A737" t="str">
            <v>m1300</v>
          </cell>
          <cell r="B737" t="str">
            <v>12. EAU TRAITEE</v>
          </cell>
          <cell r="C737" t="str">
            <v>12. TREATED WATER</v>
          </cell>
          <cell r="D737" t="str">
            <v>12. AGUA TRATADA</v>
          </cell>
        </row>
        <row r="738">
          <cell r="A738" t="str">
            <v>m1300a</v>
          </cell>
          <cell r="B738" t="str">
            <v>Eau traitée </v>
          </cell>
          <cell r="C738" t="str">
            <v>Treated water</v>
          </cell>
          <cell r="D738" t="str">
            <v>Agua tratada</v>
          </cell>
        </row>
        <row r="739">
          <cell r="A739" t="str">
            <v>m1301</v>
          </cell>
          <cell r="B739" t="str">
            <v>Rejet en DBO</v>
          </cell>
          <cell r="C739" t="str">
            <v>BOD outlet</v>
          </cell>
          <cell r="D739" t="str">
            <v>DBO agua tratada</v>
          </cell>
        </row>
        <row r="740">
          <cell r="A740" t="str">
            <v>m1302</v>
          </cell>
          <cell r="B740" t="str">
            <v>DBO soluble</v>
          </cell>
          <cell r="C740" t="str">
            <v>soluble DBO</v>
          </cell>
          <cell r="D740" t="str">
            <v>DBO soluble</v>
          </cell>
        </row>
        <row r="741">
          <cell r="A741" t="str">
            <v>m1303</v>
          </cell>
          <cell r="B741" t="str">
            <v>DBO particulaire</v>
          </cell>
          <cell r="C741" t="str">
            <v>particular DBO</v>
          </cell>
          <cell r="D741" t="str">
            <v>DBO asociado a los SS</v>
          </cell>
        </row>
        <row r="742">
          <cell r="A742" t="str">
            <v>m1304</v>
          </cell>
        </row>
        <row r="743">
          <cell r="A743" t="str">
            <v>m1305</v>
          </cell>
        </row>
        <row r="744">
          <cell r="A744" t="str">
            <v>m1306</v>
          </cell>
          <cell r="B744" t="str">
            <v>Rejet en DCO</v>
          </cell>
          <cell r="C744" t="str">
            <v>COD outlet</v>
          </cell>
          <cell r="D744" t="str">
            <v>DQO agua tratada</v>
          </cell>
        </row>
        <row r="745">
          <cell r="A745" t="str">
            <v>m1307</v>
          </cell>
          <cell r="B745" t="str">
            <v>DCO soluble réfractaire</v>
          </cell>
          <cell r="C745" t="str">
            <v>resistant soluble COD</v>
          </cell>
          <cell r="D745" t="str">
            <v>DQO soluble refractario</v>
          </cell>
        </row>
        <row r="746">
          <cell r="A746" t="str">
            <v>m1308</v>
          </cell>
          <cell r="B746" t="str">
            <v>DCO soluble </v>
          </cell>
          <cell r="C746" t="str">
            <v>soluble COD</v>
          </cell>
          <cell r="D746" t="str">
            <v>DQO soluble  </v>
          </cell>
        </row>
        <row r="747">
          <cell r="A747" t="str">
            <v>m1309</v>
          </cell>
          <cell r="B747" t="str">
            <v>DCO dans les MES</v>
          </cell>
          <cell r="C747" t="str">
            <v>COD in outlet TSS</v>
          </cell>
          <cell r="D747" t="str">
            <v>DQO asociado a los SS</v>
          </cell>
        </row>
        <row r="748">
          <cell r="A748" t="str">
            <v>m1310</v>
          </cell>
        </row>
        <row r="749">
          <cell r="A749" t="str">
            <v>m1311</v>
          </cell>
        </row>
        <row r="750">
          <cell r="A750" t="str">
            <v>m1312</v>
          </cell>
          <cell r="B750" t="str">
            <v>Rejet MES</v>
          </cell>
          <cell r="C750" t="str">
            <v>TSS outlet</v>
          </cell>
          <cell r="D750" t="str">
            <v>SST agua tratada</v>
          </cell>
        </row>
        <row r="751">
          <cell r="A751" t="str">
            <v>m1313</v>
          </cell>
        </row>
        <row r="752">
          <cell r="A752" t="str">
            <v>m1314</v>
          </cell>
          <cell r="B752" t="str">
            <v>Rejet en Azote</v>
          </cell>
          <cell r="C752" t="str">
            <v>Nitrogen outlet</v>
          </cell>
          <cell r="D752" t="str">
            <v>Nt asociada a los SS</v>
          </cell>
        </row>
        <row r="753">
          <cell r="A753" t="str">
            <v>m1315</v>
          </cell>
          <cell r="B753" t="str">
            <v>N soluble réfractaire</v>
          </cell>
          <cell r="C753" t="str">
            <v>resistant soluble N</v>
          </cell>
          <cell r="D753" t="str">
            <v>N soluble refractaria</v>
          </cell>
        </row>
        <row r="754">
          <cell r="A754" t="str">
            <v>m1316</v>
          </cell>
          <cell r="B754" t="str">
            <v>N-NH4</v>
          </cell>
          <cell r="C754" t="str">
            <v>NH4-N</v>
          </cell>
          <cell r="D754" t="str">
            <v>N-NH4</v>
          </cell>
        </row>
        <row r="755">
          <cell r="A755" t="str">
            <v>m1317</v>
          </cell>
          <cell r="B755" t="str">
            <v>N-NO3</v>
          </cell>
          <cell r="C755" t="str">
            <v>NO3-N</v>
          </cell>
          <cell r="D755" t="str">
            <v>N-NO3</v>
          </cell>
        </row>
        <row r="756">
          <cell r="A756" t="str">
            <v>m1318</v>
          </cell>
          <cell r="B756" t="str">
            <v>N dans les MES</v>
          </cell>
          <cell r="C756" t="str">
            <v>N in outlet TSS</v>
          </cell>
          <cell r="D756" t="str">
            <v>N asociada a los SS</v>
          </cell>
        </row>
        <row r="757">
          <cell r="A757" t="str">
            <v>m1319</v>
          </cell>
        </row>
        <row r="758">
          <cell r="A758" t="str">
            <v>m1320</v>
          </cell>
          <cell r="B758" t="str">
            <v>Rejet en Phosphore</v>
          </cell>
          <cell r="C758" t="str">
            <v>Phosphorus outlet</v>
          </cell>
          <cell r="D758" t="str">
            <v>Fósforo agua tratada</v>
          </cell>
        </row>
        <row r="759">
          <cell r="A759" t="str">
            <v>m1321</v>
          </cell>
          <cell r="B759" t="str">
            <v>P-PO4</v>
          </cell>
          <cell r="C759" t="str">
            <v>PO4-P</v>
          </cell>
          <cell r="D759" t="str">
            <v>P-PO4</v>
          </cell>
        </row>
        <row r="760">
          <cell r="A760" t="str">
            <v>m1322</v>
          </cell>
          <cell r="B760" t="str">
            <v>P dans les MES</v>
          </cell>
          <cell r="C760" t="str">
            <v>P in outlet TSS</v>
          </cell>
          <cell r="D760" t="str">
            <v>P asociado a los SS</v>
          </cell>
        </row>
        <row r="761">
          <cell r="A761" t="str">
            <v>m1323</v>
          </cell>
        </row>
        <row r="762">
          <cell r="A762" t="str">
            <v>m1397</v>
          </cell>
        </row>
        <row r="763">
          <cell r="A763" t="str">
            <v>m1398</v>
          </cell>
        </row>
        <row r="764">
          <cell r="A764" t="str">
            <v>m1399</v>
          </cell>
          <cell r="B764" t="str">
            <v>Calculs annexes</v>
          </cell>
          <cell r="C764" t="str">
            <v>Annex calculation</v>
          </cell>
          <cell r="D764" t="str">
            <v>Calculos anexos</v>
          </cell>
        </row>
        <row r="765">
          <cell r="A765" t="str">
            <v>m1399b</v>
          </cell>
          <cell r="B765" t="str">
            <v>CALCULS ANNEXES</v>
          </cell>
          <cell r="C765" t="str">
            <v>ANNEX CALCULATION</v>
          </cell>
          <cell r="D765" t="str">
            <v>CALCULOS ANEXOS</v>
          </cell>
        </row>
        <row r="766">
          <cell r="A766" t="str">
            <v>m1400</v>
          </cell>
          <cell r="B766" t="str">
            <v>13. UTILISATION DES REACTIFS</v>
          </cell>
          <cell r="C766" t="str">
            <v>13. REAGENT USE</v>
          </cell>
          <cell r="D766" t="str">
            <v>13. UTILIZACION DE REACTIVOS</v>
          </cell>
        </row>
        <row r="767">
          <cell r="A767" t="str">
            <v>m1401</v>
          </cell>
          <cell r="B767" t="str">
            <v>Consommation de métal pur</v>
          </cell>
          <cell r="C767" t="str">
            <v>Consuption of pure metal</v>
          </cell>
          <cell r="D767" t="str">
            <v>Consumo de metal puro</v>
          </cell>
        </row>
        <row r="768">
          <cell r="A768" t="str">
            <v>m1402</v>
          </cell>
          <cell r="B768" t="str">
            <v>Consommation journalière de Fe</v>
          </cell>
          <cell r="C768" t="str">
            <v>Daily consumption of Fe</v>
          </cell>
          <cell r="D768" t="str">
            <v>Consumo diaria de Fe</v>
          </cell>
        </row>
        <row r="769">
          <cell r="A769" t="str">
            <v>m1403</v>
          </cell>
          <cell r="B769" t="str">
            <v> - pour la décantation physico-chimique primaire</v>
          </cell>
          <cell r="C769" t="str">
            <v> - for physical-chemical primary settling</v>
          </cell>
          <cell r="D769" t="str">
            <v> - para la decantación física-química primaria</v>
          </cell>
        </row>
        <row r="770">
          <cell r="A770" t="str">
            <v>m1404</v>
          </cell>
          <cell r="B770" t="str">
            <v> - pour la déphosphatation physico-chimique simultanée</v>
          </cell>
          <cell r="C770" t="str">
            <v> - for simultaneous physical-chemical P removal</v>
          </cell>
          <cell r="D770" t="str">
            <v> - para la defosfatación física química simultanea</v>
          </cell>
        </row>
        <row r="771">
          <cell r="A771" t="str">
            <v>m1405</v>
          </cell>
          <cell r="B771" t="str">
            <v> - pour la déphosphatation physico-chimique tertiaire</v>
          </cell>
          <cell r="C771" t="str">
            <v> - for tertiary physical-chemical P removal</v>
          </cell>
          <cell r="D771" t="str">
            <v> - para la defosfatación física química tercera</v>
          </cell>
        </row>
        <row r="772">
          <cell r="A772" t="str">
            <v>m1406</v>
          </cell>
          <cell r="B772" t="str">
            <v>Total</v>
          </cell>
          <cell r="C772" t="str">
            <v>Total</v>
          </cell>
          <cell r="D772" t="str">
            <v>Total</v>
          </cell>
        </row>
        <row r="773">
          <cell r="A773" t="str">
            <v>m1407</v>
          </cell>
          <cell r="B773" t="str">
            <v>Consommation journalière de Al</v>
          </cell>
          <cell r="C773" t="str">
            <v>Daily consumption of Al</v>
          </cell>
          <cell r="D773" t="str">
            <v>Consumo diaria de Al</v>
          </cell>
        </row>
        <row r="774">
          <cell r="A774" t="str">
            <v>m1408</v>
          </cell>
          <cell r="B774" t="str">
            <v>Consommation de solution pure</v>
          </cell>
          <cell r="C774" t="str">
            <v>Consumption of pure solution</v>
          </cell>
          <cell r="D774" t="str">
            <v>Consumo de producto comercial</v>
          </cell>
        </row>
        <row r="775">
          <cell r="A775" t="str">
            <v>m1409</v>
          </cell>
          <cell r="B775" t="str">
            <v>Teneur en métal dans :</v>
          </cell>
          <cell r="C775" t="str">
            <v>Metal content in :</v>
          </cell>
          <cell r="D775" t="str">
            <v>Proporción de metal en :</v>
          </cell>
        </row>
        <row r="776">
          <cell r="A776" t="str">
            <v>m1410</v>
          </cell>
          <cell r="B776" t="str">
            <v> - chlorure ferrique</v>
          </cell>
          <cell r="C776" t="str">
            <v> - Ferric Chloride</v>
          </cell>
          <cell r="D776" t="str">
            <v> - Cloruro férrico</v>
          </cell>
        </row>
        <row r="777">
          <cell r="A777" t="str">
            <v>m1411</v>
          </cell>
          <cell r="B777" t="str">
            <v> - sulfate ferrique</v>
          </cell>
          <cell r="C777" t="str">
            <v> - Ferric Sulphate</v>
          </cell>
          <cell r="D777" t="str">
            <v> - Sulfato férrico</v>
          </cell>
        </row>
        <row r="778">
          <cell r="A778" t="str">
            <v>m1412</v>
          </cell>
          <cell r="B778" t="str">
            <v> - chlorosulfate</v>
          </cell>
          <cell r="C778" t="str">
            <v> - Chlorine sulphate</v>
          </cell>
          <cell r="D778" t="str">
            <v> - Clorosulfato</v>
          </cell>
        </row>
        <row r="779">
          <cell r="A779" t="str">
            <v>m1413</v>
          </cell>
          <cell r="B779" t="str">
            <v> - sulfate d'alumine</v>
          </cell>
          <cell r="C779" t="str">
            <v> - Alumina suphate</v>
          </cell>
          <cell r="D779" t="str">
            <v> - Sulfato de aluminio</v>
          </cell>
        </row>
        <row r="780">
          <cell r="A780" t="str">
            <v>m1414</v>
          </cell>
          <cell r="B780" t="str">
            <v> - aluminate de sodium</v>
          </cell>
          <cell r="C780" t="str">
            <v> - Sodium alumina </v>
          </cell>
          <cell r="D780" t="str">
            <v> - Aluminato de sodio</v>
          </cell>
        </row>
        <row r="781">
          <cell r="A781" t="str">
            <v>m1415</v>
          </cell>
          <cell r="B781" t="str">
            <v>% Fe</v>
          </cell>
          <cell r="C781" t="str">
            <v>% Fe</v>
          </cell>
          <cell r="D781" t="str">
            <v>% Fe</v>
          </cell>
        </row>
        <row r="782">
          <cell r="A782" t="str">
            <v>m1416</v>
          </cell>
          <cell r="B782" t="str">
            <v>% Al</v>
          </cell>
          <cell r="C782" t="str">
            <v>% Al</v>
          </cell>
          <cell r="D782" t="str">
            <v>% Al</v>
          </cell>
        </row>
        <row r="783">
          <cell r="A783" t="str">
            <v>m1417</v>
          </cell>
          <cell r="B783" t="str">
            <v>Consommation de Chlorure ferrique </v>
          </cell>
          <cell r="C783" t="str">
            <v>Consumption of Ferric Chloride</v>
          </cell>
          <cell r="D783" t="str">
            <v>Consumo de Cloruro férrico</v>
          </cell>
        </row>
        <row r="784">
          <cell r="A784" t="str">
            <v>m1418</v>
          </cell>
          <cell r="B784" t="str">
            <v>Consommation de Sulfate ferrique</v>
          </cell>
          <cell r="C784" t="str">
            <v>Consumption of Ferric Sulphate</v>
          </cell>
          <cell r="D784" t="str">
            <v>Consumo de Sulfato férrico</v>
          </cell>
        </row>
        <row r="785">
          <cell r="A785" t="str">
            <v>m1419</v>
          </cell>
          <cell r="B785" t="str">
            <v>Consommation de Chlorosulfate</v>
          </cell>
          <cell r="C785" t="str">
            <v>Consumption of Chlorine sulphate</v>
          </cell>
          <cell r="D785" t="str">
            <v>Consumo de Clorosulfato</v>
          </cell>
        </row>
        <row r="786">
          <cell r="A786" t="str">
            <v>m1420</v>
          </cell>
          <cell r="B786" t="str">
            <v>Consommation de Sulfate d'alumine</v>
          </cell>
          <cell r="C786" t="str">
            <v>Consumption of Alumina suphate</v>
          </cell>
          <cell r="D786" t="str">
            <v>Consumo de Sulfato de aluminio</v>
          </cell>
        </row>
        <row r="787">
          <cell r="A787" t="str">
            <v>m1421</v>
          </cell>
          <cell r="B787" t="str">
            <v>Consommation d' Aluminate de sodium</v>
          </cell>
          <cell r="C787" t="str">
            <v>Consumption of Sodium alumina </v>
          </cell>
          <cell r="D787" t="str">
            <v>Consumo de Aluminato de sodio</v>
          </cell>
        </row>
        <row r="788">
          <cell r="A788" t="str">
            <v>m1422</v>
          </cell>
          <cell r="B788" t="str">
            <v>Volume journalier de solution commerciale</v>
          </cell>
          <cell r="C788" t="str">
            <v>Daily volume of commercial solution</v>
          </cell>
          <cell r="D788" t="str">
            <v>Volumen diario de solución comercial</v>
          </cell>
        </row>
        <row r="789">
          <cell r="A789" t="str">
            <v>m1423</v>
          </cell>
          <cell r="B789" t="str">
            <v>Dosage :</v>
          </cell>
          <cell r="C789" t="str">
            <v>Rate :</v>
          </cell>
          <cell r="D789" t="str">
            <v>Dosaje :</v>
          </cell>
        </row>
        <row r="790">
          <cell r="A790" t="str">
            <v>m1424</v>
          </cell>
          <cell r="B790" t="str">
            <v>Stockage de réactif</v>
          </cell>
          <cell r="C790" t="str">
            <v>Reagent storage</v>
          </cell>
          <cell r="D790" t="str">
            <v>Almacenamiento de reactivo</v>
          </cell>
        </row>
        <row r="791">
          <cell r="A791" t="str">
            <v>m1425</v>
          </cell>
          <cell r="B791" t="str">
            <v>Autonomie de stockage</v>
          </cell>
          <cell r="C791" t="str">
            <v>Storage autonomy</v>
          </cell>
          <cell r="D791" t="str">
            <v>Autonomia de almacenamiento</v>
          </cell>
        </row>
        <row r="792">
          <cell r="A792" t="str">
            <v>m1426</v>
          </cell>
          <cell r="B792" t="str">
            <v>Capacité minimum de stockage</v>
          </cell>
          <cell r="C792" t="str">
            <v>Storage minimum capacity</v>
          </cell>
          <cell r="D792" t="str">
            <v>Capacidad minima de almacenamiento</v>
          </cell>
        </row>
        <row r="793">
          <cell r="A793" t="str">
            <v>m1427</v>
          </cell>
          <cell r="B793" t="str">
            <v>Densité :</v>
          </cell>
          <cell r="C793" t="str">
            <v>Density :</v>
          </cell>
          <cell r="D793" t="str">
            <v>Densidad :</v>
          </cell>
        </row>
        <row r="794">
          <cell r="A794" t="str">
            <v>m1428</v>
          </cell>
        </row>
        <row r="795">
          <cell r="A795" t="str">
            <v>m1429</v>
          </cell>
        </row>
        <row r="796">
          <cell r="A796" t="str">
            <v>m1500</v>
          </cell>
          <cell r="B796" t="str">
            <v>14. MODIFICATION DU TAC</v>
          </cell>
          <cell r="C796" t="str">
            <v>14. ALCALINITY MODIFICATION</v>
          </cell>
          <cell r="D796" t="str">
            <v>14. MODIFICACION DEL TAC</v>
          </cell>
        </row>
        <row r="797">
          <cell r="A797" t="str">
            <v>m1501</v>
          </cell>
          <cell r="B797" t="str">
            <v>Alcalinité consommée</v>
          </cell>
          <cell r="C797" t="str">
            <v>Consumed alcalinity</v>
          </cell>
          <cell r="D797" t="str">
            <v>Alcalinidad consumida</v>
          </cell>
        </row>
        <row r="798">
          <cell r="A798" t="str">
            <v>m1502</v>
          </cell>
          <cell r="B798" t="str">
            <v>par la nitrification</v>
          </cell>
          <cell r="C798" t="str">
            <v>by the nitrification</v>
          </cell>
          <cell r="D798" t="str">
            <v>con la nitrificación</v>
          </cell>
        </row>
        <row r="799">
          <cell r="A799" t="str">
            <v>m1503</v>
          </cell>
          <cell r="B799" t="str">
            <v>conso. d'alcalinité (mg CaCo3/mg N-NH4 nitrifié)</v>
          </cell>
          <cell r="C799" t="str">
            <v>alcalinity consump (mg CaCO3 / mg NH4-N nitrified)</v>
          </cell>
          <cell r="D799" t="str">
            <v>Consumo de alcalinidad (mg CaCO3/mg N-NH4 nitrificado)</v>
          </cell>
        </row>
        <row r="800">
          <cell r="A800" t="str">
            <v>m1504</v>
          </cell>
          <cell r="B800" t="str">
            <v>Rappel flux de N-NH4 nitrifié</v>
          </cell>
          <cell r="C800" t="str">
            <v>Reminf nitrified NH4-N load</v>
          </cell>
          <cell r="D800" t="str">
            <v>Recuerdo flujo de N-NH4 nitrificado</v>
          </cell>
        </row>
        <row r="801">
          <cell r="A801" t="str">
            <v>m1505</v>
          </cell>
          <cell r="B801" t="str">
            <v>Alcalinité consommée (kg CaCO3)</v>
          </cell>
          <cell r="C801" t="str">
            <v>Consumed alcalinity (kg CaCO3)</v>
          </cell>
          <cell r="D801" t="str">
            <v>Alcalinidad consumida (kg CaCO3)</v>
          </cell>
        </row>
        <row r="802">
          <cell r="A802" t="str">
            <v>m1506</v>
          </cell>
          <cell r="B802" t="str">
            <v>par la précipitation simultanée</v>
          </cell>
          <cell r="C802" t="str">
            <v>by simultaneous precipitation</v>
          </cell>
          <cell r="D802" t="str">
            <v>por la precipitación simultanea</v>
          </cell>
        </row>
        <row r="804">
          <cell r="A804" t="str">
            <v>m1507</v>
          </cell>
          <cell r="B804" t="str">
            <v>conversion g CaCO3/ g FeCL3</v>
          </cell>
          <cell r="C804" t="str">
            <v>conversion g CaCO3 / g FeCL3</v>
          </cell>
          <cell r="D804" t="str">
            <v>conversión g CaCO3/ g FeCL3</v>
          </cell>
        </row>
        <row r="805">
          <cell r="A805" t="str">
            <v>m1507b</v>
          </cell>
          <cell r="B805" t="str">
            <v>equivalent Fe(OH)3 précipité</v>
          </cell>
          <cell r="C805" t="str">
            <v>equivalent Fe(OH)3 precipitate</v>
          </cell>
          <cell r="D805" t="str">
            <v>equivalent Fe(OH)3 precipitado</v>
          </cell>
        </row>
        <row r="806">
          <cell r="A806" t="str">
            <v>m1508</v>
          </cell>
          <cell r="B806" t="str">
            <v>conversion g CaCO3 / g Al2(SO4)3,18H2O</v>
          </cell>
          <cell r="C806" t="str">
            <v>conversion g CaCO3 / g Al2(SO4)3,18H2O</v>
          </cell>
          <cell r="D806" t="str">
            <v>conversión g CaCO3 / g Al2(SO4)3,18H2O</v>
          </cell>
        </row>
        <row r="807">
          <cell r="A807" t="str">
            <v>m1508b</v>
          </cell>
          <cell r="B807" t="str">
            <v>équivalent Al(OH)3 précipité</v>
          </cell>
          <cell r="C807" t="str">
            <v>equivalent Al(OH)3 precipitate</v>
          </cell>
          <cell r="D807" t="str">
            <v>equivalent Al(OH)3 precipitado</v>
          </cell>
        </row>
        <row r="808">
          <cell r="A808" t="str">
            <v>m1509</v>
          </cell>
          <cell r="B808" t="str">
            <v>avec utilisation de Alum Sodium</v>
          </cell>
          <cell r="D808" t="str">
            <v>con utilización de Aluminio de sodio</v>
          </cell>
        </row>
        <row r="809">
          <cell r="A809" t="str">
            <v>m1510</v>
          </cell>
          <cell r="B809" t="str">
            <v>Alcalinité consommée (kg CaCO3)</v>
          </cell>
          <cell r="C809" t="str">
            <v>Consumed alcalinity (kg CaCO3)</v>
          </cell>
          <cell r="D809" t="str">
            <v>Alcalinidad consumida (kg CaCO3)</v>
          </cell>
        </row>
        <row r="810">
          <cell r="A810" t="str">
            <v>m1511</v>
          </cell>
          <cell r="B810" t="str">
            <v>Alcalinité récupérée</v>
          </cell>
          <cell r="C810" t="str">
            <v>Recovered alcalinity</v>
          </cell>
          <cell r="D810" t="str">
            <v>Alcalinidad recuperada</v>
          </cell>
        </row>
        <row r="811">
          <cell r="A811" t="str">
            <v>m1512</v>
          </cell>
          <cell r="B811" t="str">
            <v>par la dénitrification</v>
          </cell>
          <cell r="C811" t="str">
            <v>by the denitrification</v>
          </cell>
          <cell r="D811" t="str">
            <v>por la denitrificación</v>
          </cell>
        </row>
        <row r="812">
          <cell r="A812" t="str">
            <v>m1513</v>
          </cell>
          <cell r="B812" t="str">
            <v>Apport d'alcalinité (kg CaCO3/mg N-NO3 dénitrifié)</v>
          </cell>
          <cell r="C812" t="str">
            <v>Alcalinity addition (kg CaCO3/mg NO3-N denitrified)</v>
          </cell>
          <cell r="D812" t="str">
            <v>Aportación de alcalinidad (kg CaCO3/mg N-NO3 denitrificado)</v>
          </cell>
        </row>
        <row r="813">
          <cell r="A813" t="str">
            <v>m1514</v>
          </cell>
          <cell r="B813" t="str">
            <v>Rappel N-NO3 dénitrifié</v>
          </cell>
          <cell r="C813" t="str">
            <v>Remind denitrified NO3-N</v>
          </cell>
          <cell r="D813" t="str">
            <v>Recuerdo N-NO3 denitrificado</v>
          </cell>
        </row>
        <row r="814">
          <cell r="A814" t="str">
            <v>m1515</v>
          </cell>
          <cell r="B814" t="str">
            <v>Alcalinité récupérée (kg CaCO3)</v>
          </cell>
          <cell r="C814" t="str">
            <v>Recovered alcalinity (kg CaCO3)</v>
          </cell>
          <cell r="D814" t="str">
            <v>Alcalinidad recuperada (kg CaCO3)</v>
          </cell>
        </row>
        <row r="815">
          <cell r="A815" t="str">
            <v>m1515a</v>
          </cell>
          <cell r="B815" t="str">
            <v>Bilan d'alcalinité</v>
          </cell>
          <cell r="C815" t="str">
            <v>Alcalinity balance</v>
          </cell>
          <cell r="D815" t="str">
            <v>Balance de alcalinidad</v>
          </cell>
        </row>
        <row r="816">
          <cell r="A816" t="str">
            <v>m1516</v>
          </cell>
          <cell r="B816" t="str">
            <v>Rappel TAC eau brute (kg CaCO3)</v>
          </cell>
          <cell r="C816" t="str">
            <v>Remind TAC raw water (kg CaCO3)</v>
          </cell>
          <cell r="D816" t="str">
            <v>Recuerdo TAC agua bruta (kg CaCO3)</v>
          </cell>
        </row>
        <row r="817">
          <cell r="A817" t="str">
            <v>m1517</v>
          </cell>
          <cell r="B817" t="str">
            <v>TAC à maintenir en sortie (mg CaCO3/l)</v>
          </cell>
          <cell r="C817" t="str">
            <v>TAC to hold at outlet (mg CaCO3/l)</v>
          </cell>
          <cell r="D817" t="str">
            <v>TAC a mantener en la salida (mg CaCO3/l)</v>
          </cell>
        </row>
        <row r="818">
          <cell r="A818" t="str">
            <v>m1517a</v>
          </cell>
          <cell r="B818" t="str">
            <v>soit en kg CaCO3</v>
          </cell>
          <cell r="C818" t="str">
            <v>so in kg CaCO3</v>
          </cell>
          <cell r="D818" t="str">
            <v>entonces en kg Ca CO3</v>
          </cell>
        </row>
        <row r="819">
          <cell r="A819" t="str">
            <v>m1518</v>
          </cell>
          <cell r="B819" t="str">
            <v>Variation du TAC</v>
          </cell>
          <cell r="C819" t="str">
            <v>TAC variation</v>
          </cell>
          <cell r="D819" t="str">
            <v>Variación del TAC</v>
          </cell>
        </row>
        <row r="820">
          <cell r="A820" t="str">
            <v>m1519</v>
          </cell>
          <cell r="B820" t="str">
            <v>TAC à corriger</v>
          </cell>
          <cell r="C820" t="str">
            <v>TAC to rectify</v>
          </cell>
          <cell r="D820" t="str">
            <v>TAC a rectificar</v>
          </cell>
        </row>
        <row r="821">
          <cell r="A821" t="str">
            <v>m1520</v>
          </cell>
          <cell r="B821" t="str">
            <v>Conversion en chaux pure (mgCa(OH)2/mgCaCO3)</v>
          </cell>
          <cell r="C821" t="str">
            <v>Conversion in pure lime (mgCa(OH)2/mgCaCO3)</v>
          </cell>
          <cell r="D821" t="str">
            <v>Conversión en cal pura (mgCa(OH)2/mg CaCO3)</v>
          </cell>
        </row>
        <row r="822">
          <cell r="A822" t="str">
            <v>m1521</v>
          </cell>
          <cell r="B822" t="str">
            <v>Poids de chaux éteinte à ajouter (kg Ca(OH)2/j)</v>
          </cell>
          <cell r="C822" t="str">
            <v>Load of lime to add (kg Ca(OH)2/j)</v>
          </cell>
          <cell r="D822" t="str">
            <v>Cantidad de cal a añadir (kg Ca(OH)2/j)</v>
          </cell>
        </row>
        <row r="823">
          <cell r="A823" t="str">
            <v>m1522</v>
          </cell>
          <cell r="B823" t="str">
            <v>soit une concentration</v>
          </cell>
          <cell r="C823" t="str">
            <v>so a concentration</v>
          </cell>
          <cell r="D823" t="str">
            <v>entonces una concentración </v>
          </cell>
        </row>
        <row r="824">
          <cell r="A824" t="str">
            <v>m1523</v>
          </cell>
        </row>
        <row r="825">
          <cell r="A825" t="str">
            <v>m1600</v>
          </cell>
          <cell r="B825" t="str">
            <v>15. SOURCE DE CARBONE EXTERNE</v>
          </cell>
          <cell r="C825" t="str">
            <v>15. EXTERNAL CARBON ADDITION</v>
          </cell>
          <cell r="D825" t="str">
            <v>15. FUENTE DE CARBON EXTERNAL</v>
          </cell>
        </row>
        <row r="826">
          <cell r="A826" t="str">
            <v>m1601</v>
          </cell>
          <cell r="B826" t="str">
            <v>Déficit de carbone</v>
          </cell>
          <cell r="C826" t="str">
            <v>Carbon deficit</v>
          </cell>
          <cell r="D826" t="str">
            <v>Déficit de carbono</v>
          </cell>
        </row>
        <row r="827">
          <cell r="A827" t="str">
            <v>m1602</v>
          </cell>
          <cell r="B827" t="str">
            <v>Flux de N-NO3 dénitrifié total</v>
          </cell>
          <cell r="C827" t="str">
            <v>Total denitrified NO3-N load</v>
          </cell>
          <cell r="D827" t="str">
            <v>Flujo de DBO5 disponible para la denitrificación</v>
          </cell>
        </row>
        <row r="828">
          <cell r="A828" t="str">
            <v>m1603</v>
          </cell>
          <cell r="B828" t="str">
            <v>Flux de N-NO3 à dénitrifier par la source de carbone</v>
          </cell>
          <cell r="C828" t="str">
            <v>NO3-N load to be denitrified by external carbon</v>
          </cell>
          <cell r="D828" t="str">
            <v>Flujo de N-NO3 a denitrificar con el aportación de carbono</v>
          </cell>
        </row>
        <row r="829">
          <cell r="A829" t="str">
            <v>m1604</v>
          </cell>
          <cell r="B829" t="str">
            <v>Déficit en source de carbone (exprimé en DBO)</v>
          </cell>
          <cell r="C829" t="str">
            <v>Deficit in carbon (expressed in BOD)</v>
          </cell>
          <cell r="D829" t="str">
            <v>Déficit de carbono (en DBO)</v>
          </cell>
        </row>
        <row r="830">
          <cell r="A830" t="str">
            <v>m1605</v>
          </cell>
          <cell r="B830" t="str">
            <v>Apport d'un substrat carboné ?</v>
          </cell>
          <cell r="C830" t="str">
            <v>Addition of carbon substrate</v>
          </cell>
          <cell r="D830" t="str">
            <v>Aportación de una substancia de carbono ?</v>
          </cell>
        </row>
        <row r="831">
          <cell r="A831" t="str">
            <v>m1606</v>
          </cell>
          <cell r="B831" t="str">
            <v>Si oui, quel substrat retenu ?</v>
          </cell>
          <cell r="C831" t="str">
            <v>If yes, king of substrate ?</v>
          </cell>
          <cell r="D831" t="str">
            <v>Que tipo de substancia</v>
          </cell>
        </row>
        <row r="832">
          <cell r="A832" t="str">
            <v>m1607</v>
          </cell>
          <cell r="B832" t="str">
            <v>Apport de carbone (exprimé en DBO) retenu :</v>
          </cell>
          <cell r="C832" t="str">
            <v>Addition of carbon (expressed in BOD) chosen :</v>
          </cell>
          <cell r="D832" t="str">
            <v>Aportación de carbono (en DBO) elejido :</v>
          </cell>
        </row>
        <row r="833">
          <cell r="A833" t="str">
            <v>m1608</v>
          </cell>
          <cell r="B833" t="str">
            <v>Teneur en carbone dans :</v>
          </cell>
          <cell r="C833" t="str">
            <v>Carbone content in :</v>
          </cell>
          <cell r="D833" t="str">
            <v>Proporción de carbono en :</v>
          </cell>
        </row>
        <row r="834">
          <cell r="A834" t="str">
            <v>m1609</v>
          </cell>
          <cell r="B834" t="str">
            <v>Méthanol (CH3OH)</v>
          </cell>
          <cell r="C834" t="str">
            <v>Methanol (CH3OH)</v>
          </cell>
          <cell r="D834" t="str">
            <v>Méthanol ( CH3OH)</v>
          </cell>
        </row>
        <row r="835">
          <cell r="A835" t="str">
            <v>m1610</v>
          </cell>
          <cell r="B835" t="str">
            <v>Acide acétique</v>
          </cell>
          <cell r="C835" t="str">
            <v>Acid acetic</v>
          </cell>
          <cell r="D835" t="str">
            <v>Acido acético</v>
          </cell>
        </row>
        <row r="836">
          <cell r="A836" t="str">
            <v>m1611</v>
          </cell>
          <cell r="B836" t="str">
            <v>?</v>
          </cell>
          <cell r="C836" t="str">
            <v>?</v>
          </cell>
          <cell r="D836" t="str">
            <v>?</v>
          </cell>
        </row>
        <row r="837">
          <cell r="A837" t="str">
            <v>m1612</v>
          </cell>
          <cell r="B837" t="str">
            <v>Consommation journalière produit pur</v>
          </cell>
          <cell r="C837" t="str">
            <v>Daily consumption </v>
          </cell>
          <cell r="D837" t="str">
            <v>Consumo diario</v>
          </cell>
        </row>
        <row r="838">
          <cell r="A838" t="str">
            <v>m1613</v>
          </cell>
          <cell r="B838" t="str">
            <v>Densité du produit :</v>
          </cell>
          <cell r="C838" t="str">
            <v>Product density :</v>
          </cell>
          <cell r="D838" t="str">
            <v>Densidad del proyecto :</v>
          </cell>
        </row>
        <row r="839">
          <cell r="A839" t="str">
            <v>m1614</v>
          </cell>
          <cell r="B839" t="str">
            <v>Volume journalier à prévoir</v>
          </cell>
          <cell r="C839" t="str">
            <v>Daily volume needed :</v>
          </cell>
          <cell r="D839" t="str">
            <v>Volumen diario a prever</v>
          </cell>
        </row>
        <row r="840">
          <cell r="A840" t="str">
            <v>m1615</v>
          </cell>
          <cell r="B840" t="str">
            <v>Production de boue du carbone externe</v>
          </cell>
          <cell r="C840" t="str">
            <v>Sludge production from external carbon</v>
          </cell>
          <cell r="D840" t="str">
            <v>Producción de fangos del carbono externo</v>
          </cell>
        </row>
        <row r="841">
          <cell r="A841" t="str">
            <v>m1616</v>
          </cell>
          <cell r="B841" t="str">
            <v>Taux de MV dans ces boues</v>
          </cell>
          <cell r="C841" t="str">
            <v>% SV in this sludge</v>
          </cell>
          <cell r="D841" t="str">
            <v>% SV en los fangos</v>
          </cell>
        </row>
        <row r="842">
          <cell r="A842" t="str">
            <v>m1617</v>
          </cell>
        </row>
        <row r="843">
          <cell r="A843" t="str">
            <v>m2000</v>
          </cell>
          <cell r="B843" t="str">
            <v>NOTICE D'UTILISATION</v>
          </cell>
          <cell r="C843" t="str">
            <v>DIRECTIONS FOR USE</v>
          </cell>
          <cell r="D843" t="str">
            <v>NOTICIA DE UTILIZACION</v>
          </cell>
        </row>
        <row r="844">
          <cell r="A844" t="str">
            <v>m2000a</v>
          </cell>
          <cell r="B844" t="str">
            <v>DESCRIPTION</v>
          </cell>
          <cell r="C844" t="str">
            <v>DESCRIPTION</v>
          </cell>
          <cell r="D844" t="str">
            <v>DESCRIPCION</v>
          </cell>
        </row>
        <row r="845">
          <cell r="A845" t="str">
            <v>m2001</v>
          </cell>
        </row>
        <row r="846">
          <cell r="A846" t="str">
            <v>m2002</v>
          </cell>
          <cell r="B846" t="str">
            <v>Seuls les onglets "Ligne Eau" et "Ligne Boue" sont à compléter.</v>
          </cell>
          <cell r="C846" t="str">
            <v>Only the sheets "Ligne Eau" and "Ligne Boue" need to be completed.</v>
          </cell>
          <cell r="D846" t="str">
            <v>Solo tiene que completar las páginas "Ligne Eau" et "Ligne Boue".</v>
          </cell>
        </row>
        <row r="847">
          <cell r="A847" t="str">
            <v>m2003</v>
          </cell>
          <cell r="B847" t="str">
            <v>Le calcul des retours de boue sera réalisé pour le cas correspondant à la colonne retenue en tête de l'onglet "Ligne Boue".</v>
          </cell>
          <cell r="D847" t="str">
            <v>El calculo de los retornos se realiza para la columna retenida en la primera linea de la página "Ligne Boue".</v>
          </cell>
        </row>
        <row r="848">
          <cell r="A848" t="str">
            <v>m2004</v>
          </cell>
          <cell r="B848" t="str">
            <v>Ces résultats, affichés à la fin de ce même onglet, sont à intégrer dans l'onglet "Ligne Eau".</v>
          </cell>
          <cell r="D848" t="str">
            <v>Estos calculos, escritos al final de la pagina, tienen que ser integrados en la "Ligne Eau".</v>
          </cell>
        </row>
        <row r="849">
          <cell r="A849" t="str">
            <v>m2005</v>
          </cell>
          <cell r="B849" t="str">
            <v>Le bilan masse "Bilan masse avec DP" ou "Bilan masse sans DP" se réalise automatiquement, ainsi que le "Récapitulatif".</v>
          </cell>
          <cell r="D849" t="str">
            <v>Los balances de masa "Bilan masse avec DP" o "Bilan masse sans DP" se realizan automaticamente.</v>
          </cell>
        </row>
        <row r="850">
          <cell r="A850" t="str">
            <v>m2005b</v>
          </cell>
          <cell r="B850" t="str">
            <v>Attention l'intégralité des documents est confidentiel, mis à part le bilan masse et le récapitulatif </v>
          </cell>
          <cell r="C850" t="str">
            <v>Take care, all those documents are confidential, except the mass balance and the recapitulative sheet</v>
          </cell>
          <cell r="D850" t="str">
            <v>Cuidado, todos los documentos son confidentiales, excepto el balance de masa que se puede </v>
          </cell>
        </row>
        <row r="851">
          <cell r="A851" t="str">
            <v>m2005c</v>
          </cell>
          <cell r="B851" t="str">
            <v>qui peuvent être diffusés au client.</v>
          </cell>
          <cell r="C851" t="str">
            <v>.</v>
          </cell>
          <cell r="D851" t="str">
            <v>difusar al cliente.</v>
          </cell>
        </row>
        <row r="852">
          <cell r="A852" t="str">
            <v>m2006</v>
          </cell>
          <cell r="B852" t="str">
            <v>CODE DES COULEURS</v>
          </cell>
          <cell r="C852" t="str">
            <v>COLOR CODE</v>
          </cell>
          <cell r="D852" t="str">
            <v>CODIGO DE COLORES</v>
          </cell>
        </row>
        <row r="853">
          <cell r="A853" t="str">
            <v>m2007</v>
          </cell>
          <cell r="B853" t="str">
            <v>valeur à renseigner</v>
          </cell>
          <cell r="C853" t="str">
            <v>data to fill</v>
          </cell>
          <cell r="D853" t="str">
            <v>dato a informar</v>
          </cell>
        </row>
        <row r="854">
          <cell r="A854" t="str">
            <v>m2008</v>
          </cell>
          <cell r="B854" t="str">
            <v>liste déroulante à renseigner à l'aide du bouton</v>
          </cell>
          <cell r="C854" t="str">
            <v>unrolled list to fill using the boton</v>
          </cell>
          <cell r="D854" t="str">
            <v>lista de elección a informar con el botón</v>
          </cell>
        </row>
        <row r="855">
          <cell r="A855" t="str">
            <v>m2008b</v>
          </cell>
          <cell r="B855" t="str">
            <v>liste déroulante à renseigner à l'aide du bouton</v>
          </cell>
          <cell r="C855" t="str">
            <v>unrolled list to fill</v>
          </cell>
          <cell r="D855" t="str">
            <v>lista de elección a informar</v>
          </cell>
        </row>
        <row r="856">
          <cell r="A856" t="str">
            <v>m2009</v>
          </cell>
          <cell r="B856" t="str">
            <v>donnée importante</v>
          </cell>
          <cell r="C856" t="str">
            <v>important data</v>
          </cell>
          <cell r="D856" t="str">
            <v>dato importante</v>
          </cell>
        </row>
        <row r="857">
          <cell r="A857" t="str">
            <v>m2010</v>
          </cell>
          <cell r="B857" t="str">
            <v>message d'alerte</v>
          </cell>
          <cell r="C857" t="str">
            <v>alert message</v>
          </cell>
          <cell r="D857" t="str">
            <v>mesaje de alerta</v>
          </cell>
        </row>
        <row r="858">
          <cell r="A858" t="str">
            <v>m2011</v>
          </cell>
          <cell r="B858" t="str">
            <v>cellule avec une valeur par défaut pouvant etre changée seulement</v>
          </cell>
          <cell r="C858" t="str">
            <v>cell with default value which can be changed</v>
          </cell>
          <cell r="D858" t="str">
            <v>célula con dato  por defecto que puede ser cambiar solo si</v>
          </cell>
        </row>
        <row r="859">
          <cell r="A859" t="str">
            <v>m2012</v>
          </cell>
          <cell r="B859" t="str">
            <v>dans le cas de possession de données plus précises.</v>
          </cell>
          <cell r="C859" t="str">
            <v>only if accurated datas are available</v>
          </cell>
          <cell r="D859" t="str">
            <v>el utilizador tiene datos mas adaptatos al caso</v>
          </cell>
        </row>
        <row r="860">
          <cell r="A860" t="str">
            <v>m2013</v>
          </cell>
          <cell r="B860" t="str">
            <v>Situé en haut de la page, dans la partie figée,</v>
          </cell>
          <cell r="C860" t="str">
            <v>Situated at the top of the sheet, in the fixed zone,</v>
          </cell>
          <cell r="D860" t="str">
            <v>Se situa por encima de la pagina de calculo, en la parte fijada</v>
          </cell>
        </row>
        <row r="861">
          <cell r="A861" t="str">
            <v>m2014</v>
          </cell>
          <cell r="B861" t="str">
            <v>Permet d'aller directement au chapitre désiré.</v>
          </cell>
          <cell r="C861" t="str">
            <v>Go directly to the desired chapter. </v>
          </cell>
          <cell r="D861" t="str">
            <v>Permite ir directamente al capítulo querido.</v>
          </cell>
        </row>
        <row r="862">
          <cell r="A862" t="str">
            <v>m2014b</v>
          </cell>
          <cell r="B862" t="str">
            <v>Permet de rajouter des colonnes pour faire une autre étude en paralèle</v>
          </cell>
          <cell r="C862" t="str">
            <v>Show other columns to carry out another study case</v>
          </cell>
          <cell r="D862" t="str">
            <v>Añade otras columnas para hacer otros casos de estudios </v>
          </cell>
        </row>
        <row r="863">
          <cell r="A863" t="str">
            <v>m2014c</v>
          </cell>
          <cell r="B863" t="str">
            <v>ou de masquer une colonne</v>
          </cell>
          <cell r="C863" t="str">
            <v>or hide a column</v>
          </cell>
          <cell r="D863" t="str">
            <v>o oculta una columna.</v>
          </cell>
        </row>
        <row r="864">
          <cell r="A864" t="str">
            <v>m2015</v>
          </cell>
          <cell r="B864" t="str">
            <v>HISTORIQUE</v>
          </cell>
          <cell r="C864" t="str">
            <v>CHRONOLOGICAL ACCOUNT OF EVENTS</v>
          </cell>
          <cell r="D864" t="str">
            <v>HISTORICA</v>
          </cell>
        </row>
        <row r="865">
          <cell r="A865" t="str">
            <v>m2015b</v>
          </cell>
          <cell r="B865" t="str">
            <v>Ce nouvel outil prend la succession de la note de calcul Biol9.</v>
          </cell>
          <cell r="C865" t="str">
            <v>This new software is the succession of Biol9 calculation note.</v>
          </cell>
          <cell r="D865" t="str">
            <v>Esta nueva nota de calculo es la succesión de Biol9.</v>
          </cell>
        </row>
        <row r="866">
          <cell r="A866" t="str">
            <v>m2015c</v>
          </cell>
          <cell r="B866" t="str">
            <v>Signification de Ondéor : Outil Nouveau de Dimensionnement pour l'Epuration des O(Eaux) Résiduaires</v>
          </cell>
          <cell r="C866" t="str">
            <v>Meaning of Ondeor : New tool for the design of waste water treatment (in french)</v>
          </cell>
          <cell r="D866" t="str">
            <v>Siñificación de Ondeor : Nueva nota de diseño de depuración de agua residual (en frences)</v>
          </cell>
        </row>
        <row r="867">
          <cell r="A867" t="str">
            <v>m2016</v>
          </cell>
          <cell r="B867" t="str">
            <v>création par Jean Marc Julve et Jean Claude Bourdelot</v>
          </cell>
          <cell r="C867" t="str">
            <v>created by Jean Marc Julve and Jean Claude Bourdelot</v>
          </cell>
          <cell r="D867" t="str">
            <v>creación por Jean Marc Julve y Jean Claude Bourdelot</v>
          </cell>
        </row>
        <row r="868">
          <cell r="A868" t="str">
            <v>m2017</v>
          </cell>
          <cell r="B868" t="str">
            <v>modif sur l'abattement en Pt</v>
          </cell>
          <cell r="C868" t="str">
            <v>modif on Pt elimination</v>
          </cell>
          <cell r="D868" t="str">
            <v>modif del rendimiento sobre el Pt</v>
          </cell>
        </row>
        <row r="869">
          <cell r="A869" t="str">
            <v>m2018</v>
          </cell>
          <cell r="B869" t="str">
            <v>modif de la courbe du taux de MV</v>
          </cell>
          <cell r="C869" t="str">
            <v>modif on % SV function</v>
          </cell>
          <cell r="D869" t="str">
            <v>modif de la curba del % de SV</v>
          </cell>
        </row>
        <row r="870">
          <cell r="A870" t="str">
            <v>m2019</v>
          </cell>
          <cell r="B870" t="str">
            <v>modif du coeff de pointe pour l'O2</v>
          </cell>
          <cell r="C870" t="str">
            <v>modif of peak coeff for O2</v>
          </cell>
          <cell r="D870" t="str">
            <v>modif del coef de punta para el O2</v>
          </cell>
        </row>
        <row r="871">
          <cell r="A871" t="str">
            <v>m2020</v>
          </cell>
          <cell r="B871" t="str">
            <v>modif de la teneur en P des MES de rejet après déphos simultanée</v>
          </cell>
          <cell r="C871" t="str">
            <v>modif of P content in outlet SST after simultaneous P removal</v>
          </cell>
          <cell r="D871" t="str">
            <v>modif de la proporción de P en los SST despues defosfatación</v>
          </cell>
        </row>
        <row r="873">
          <cell r="A873" t="str">
            <v>m2027</v>
          </cell>
          <cell r="B873" t="str">
            <v>PRINCIPALES MODIFICATIONS Ondéor / Biol9</v>
          </cell>
          <cell r="C873" t="str">
            <v>MAIN MODIFICATIONS Ondéor/Biol9</v>
          </cell>
          <cell r="D873" t="str">
            <v>MAYORES MODIFICACIONES Ondéor / Biol9</v>
          </cell>
        </row>
        <row r="874">
          <cell r="A874" t="str">
            <v>m2028</v>
          </cell>
          <cell r="B874" t="str">
            <v>L'approche générale de dimensionnement reste semblable à celle de Biol9.</v>
          </cell>
          <cell r="C874" t="str">
            <v>The general design aproch is similar to the Biol9 one.</v>
          </cell>
          <cell r="D874" t="str">
            <v>La metodología general de diseño es similar a Biol9.</v>
          </cell>
        </row>
        <row r="875">
          <cell r="A875" t="str">
            <v>m2029</v>
          </cell>
          <cell r="B875" t="str">
            <v>Il est possible de réaliser plusieurs cas de dimensionnement dans les colonnes de D à I. Ces colonnes</v>
          </cell>
          <cell r="C875" t="str">
            <v>It is possible to realize several design studies in the columns D to I. those columns are </v>
          </cell>
          <cell r="D875" t="str">
            <v>Es posible realizar varios estudios de diseño en las columnas D et I.</v>
          </cell>
        </row>
        <row r="876">
          <cell r="A876" t="str">
            <v>m2030</v>
          </cell>
          <cell r="B876" t="str">
            <v>sont pré-configurées en raison de la protection de la note de calcul; pour ajouter une colonne, cliquer </v>
          </cell>
          <cell r="C876" t="str">
            <v>already configurated because of the protection of the calculation note. To add a column just clic on</v>
          </cell>
          <cell r="D876" t="str">
            <v>Estas columnas ya estan configuradas a causa de la protección de la nota de calculo.</v>
          </cell>
        </row>
        <row r="877">
          <cell r="A877" t="str">
            <v>m2031</v>
          </cell>
          <cell r="B877" t="str">
            <v>sur le bouton + en tête de la page.</v>
          </cell>
          <cell r="C877" t="str">
            <v>the button + in the top of the page.</v>
          </cell>
          <cell r="D877" t="str">
            <v>Para añadir una columna, apretar el boton + en las primeras lineas de la pagina.</v>
          </cell>
        </row>
        <row r="878">
          <cell r="A878" t="str">
            <v>m2032</v>
          </cell>
          <cell r="B878" t="str">
            <v>Ci-dessous un résumé des principales modifications par rapport à Biol9:</v>
          </cell>
          <cell r="C878" t="str">
            <v>Please find here-below a summary of the main changes with Biol9 :</v>
          </cell>
          <cell r="D878" t="str">
            <v>Resumen de las mayores modificaciones entre Ondeor y Biol9 :</v>
          </cell>
        </row>
        <row r="879">
          <cell r="A879" t="str">
            <v>m2033</v>
          </cell>
          <cell r="B879" t="str">
            <v>Typologie de l'eau brute</v>
          </cell>
          <cell r="C879" t="str">
            <v>Raw water typology</v>
          </cell>
          <cell r="D879" t="str">
            <v>Tipologia del agua bruta:</v>
          </cell>
        </row>
        <row r="880">
          <cell r="A880" t="str">
            <v>m2034</v>
          </cell>
          <cell r="B880" t="str">
            <v>Ondéor se base dorénavant sur la caractérisation de l'eau brute. Ce fractionnement influe sur le calcul </v>
          </cell>
          <cell r="C880" t="str">
            <v>Ondeor is now based on the raw water characterization. This fractionment has a big influence on</v>
          </cell>
          <cell r="D880" t="str">
            <v>Ondeor se basa ahora sobre las caracteristicas del agua bruta. Este fraccionamiento influe sobre</v>
          </cell>
        </row>
        <row r="881">
          <cell r="A881" t="str">
            <v>m2035</v>
          </cell>
          <cell r="B881" t="str">
            <v>du rendement en décantation primaire, du % de carbone facilement assimilable pour la dénitrification et</v>
          </cell>
          <cell r="C881" t="str">
            <v>the calculation of the primary settling tank efficiency, the easily assimilated carbon % for the denitrification</v>
          </cell>
          <cell r="D881" t="str">
            <v>el rendimiento del primer decantación, el % de carbona facilment asimilable para la denitrificación</v>
          </cell>
        </row>
        <row r="882">
          <cell r="A882" t="str">
            <v>m2036</v>
          </cell>
          <cell r="B882" t="str">
            <v>la déphosphatation.</v>
          </cell>
          <cell r="C882" t="str">
            <v>and the P removal.</v>
          </cell>
          <cell r="D882" t="str">
            <v>y la defosfatación.</v>
          </cell>
        </row>
        <row r="883">
          <cell r="A883" t="str">
            <v>m2037</v>
          </cell>
          <cell r="B883" t="str">
            <v>Une typologie de l'eau brute est proposée par défaut. Celle-ci représente une eau "normale" permettant </v>
          </cell>
          <cell r="C883" t="str">
            <v>A default raw water typology is proposed. It represents a "standard" water which give usual values</v>
          </cell>
          <cell r="D883" t="str">
            <v>Una tipologia por defecto esta propuesta. Esta representa un agua estandar y permite</v>
          </cell>
        </row>
        <row r="884">
          <cell r="A884" t="str">
            <v>m2038</v>
          </cell>
          <cell r="B884" t="str">
            <v>d'obtenir des valeurs habituelles. Nous vous conseillons de la modifier qu'en possession de résultats</v>
          </cell>
          <cell r="C884" t="str">
            <v>We advise you not to change then unless you have some on site test value.</v>
          </cell>
          <cell r="D884" t="str">
            <v>obtener valores habituales. Aconsejamos modificarles solo en caso de mesura del agua</v>
          </cell>
        </row>
        <row r="885">
          <cell r="A885" t="str">
            <v>m2039</v>
          </cell>
          <cell r="B885" t="str">
            <v>de mesure de l'eau brute de la station.</v>
          </cell>
          <cell r="C885" t="str">
            <v>.</v>
          </cell>
          <cell r="D885" t="str">
            <v>de la estación.</v>
          </cell>
        </row>
        <row r="886">
          <cell r="A886" t="str">
            <v>m2040</v>
          </cell>
          <cell r="B886" t="str">
            <v>Attention, dans le cas où le message d'alarme "typo par défaut inadaptée !!" s'affiche, cela signifie qu'il y a</v>
          </cell>
          <cell r="C886" t="str">
            <v>Take care, if the alarm message "default typo inadapted" is written, it means that there is a risk of </v>
          </cell>
          <cell r="D886" t="str">
            <v>Atención, si el mesaje " tip por defecto inadaptado" se escribe, significa que</v>
          </cell>
        </row>
        <row r="887">
          <cell r="A887" t="str">
            <v>m2041</v>
          </cell>
          <cell r="B887" t="str">
            <v>risque de présence d'eau industrielle ou d'eau atypique. Il vous faudra alors obligatoirement faire appel</v>
          </cell>
          <cell r="C887" t="str">
            <v>industrial water presence or special water. In that case, you will have to ask to your technical department</v>
          </cell>
          <cell r="D887" t="str">
            <v>hay un riesgo de presencia de agua industrial o de agua atípica. Hay que pedir a la DTG </v>
          </cell>
        </row>
        <row r="888">
          <cell r="A888" t="str">
            <v>m2042</v>
          </cell>
          <cell r="B888" t="str">
            <v>à la DTG pour connaître le fractionnement à renseigner.</v>
          </cell>
          <cell r="C888" t="str">
            <v>to know the typology to use.</v>
          </cell>
          <cell r="D888" t="str">
            <v>la tipologia a utilizar.</v>
          </cell>
        </row>
        <row r="889">
          <cell r="A889" t="str">
            <v>m2043</v>
          </cell>
          <cell r="B889" t="str">
            <v>Rappel: la typologie a une forte influence sur la suite des calculs.</v>
          </cell>
          <cell r="C889" t="str">
            <v>Remind : typology has a big influence on the rest of the design.</v>
          </cell>
          <cell r="D889" t="str">
            <v>Recuerdo : la tipologia tiene mucha influenca sobre el resto de los calculos.</v>
          </cell>
        </row>
        <row r="890">
          <cell r="A890" t="str">
            <v>m2044</v>
          </cell>
          <cell r="B890" t="str">
            <v>Décantation Primaire</v>
          </cell>
          <cell r="C890" t="str">
            <v>Primary settling tank</v>
          </cell>
          <cell r="D890" t="str">
            <v>Primer decantación</v>
          </cell>
        </row>
        <row r="891">
          <cell r="A891" t="str">
            <v>m2045</v>
          </cell>
          <cell r="B891" t="str">
            <v>Comme précisé précédemment, le calcul du rendement se base sur le fractionnement de l'eau brute.</v>
          </cell>
          <cell r="C891" t="str">
            <v>As written above, the efficiency calculation is based on the raw water fractionment .</v>
          </cell>
          <cell r="D891" t="str">
            <v>Tal que indicado, el calculo del rendimiento se basa sobre el fractionamiento del agua bruta.</v>
          </cell>
        </row>
        <row r="892">
          <cell r="A892" t="str">
            <v>m2046</v>
          </cell>
          <cell r="B892" t="str">
            <v>Un rendement en MES est proposé. A l'utilisateur de retenir le rendement en MES voulu. Si celui-ci est</v>
          </cell>
          <cell r="C892" t="str">
            <v>An TSS efficiency is proposed. The user has to confirm this TSS efficiency. If it is different,</v>
          </cell>
          <cell r="D892" t="str">
            <v>Un rendimiento en SST se calcula. El utilizador tiene que elejir el rendimiento en SST. Si este es</v>
          </cell>
        </row>
        <row r="893">
          <cell r="A893" t="str">
            <v>m2047</v>
          </cell>
          <cell r="B893" t="str">
            <v>différent, il faudra alors modifier artificiellement le % de MES décantable tel qu'indiqué. Cet ajustement</v>
          </cell>
          <cell r="C893" t="str">
            <v>he will have to change the % settleable TSS has indicated. This ajustement will give a coherent </v>
          </cell>
          <cell r="D893" t="str">
            <v>differente, tendrá que modificar el M de SST decantable tal que indicado. Esta operación </v>
          </cell>
        </row>
        <row r="894">
          <cell r="A894" t="str">
            <v>m2048</v>
          </cell>
          <cell r="B894" t="str">
            <v>permettra ainsi d'obtenir le calcul cohérent des autres rendements qui en découle.</v>
          </cell>
          <cell r="C894" t="str">
            <v>calculation between the other efficiencies.</v>
          </cell>
          <cell r="D894" t="str">
            <v>permitirá obtener un calculo coherente entre los otros rendimientos.</v>
          </cell>
        </row>
        <row r="895">
          <cell r="A895" t="str">
            <v>m2049</v>
          </cell>
          <cell r="B895" t="str">
            <v>Dénitrification</v>
          </cell>
          <cell r="C895" t="str">
            <v>Denitrification</v>
          </cell>
          <cell r="D895" t="str">
            <v>Denitrificación</v>
          </cell>
        </row>
        <row r="896">
          <cell r="A896" t="str">
            <v>m2050</v>
          </cell>
          <cell r="B896" t="str">
            <v>Le flux de N-NO3 à dénitrifier tient compte du flux éventuel de N-NO3 dans l'eau brute, des équivalents N-NO3 </v>
          </cell>
          <cell r="C896" t="str">
            <v>The NO3-N load to denitrifiy take into account the eventual NO3-N load in the raw water, the equivalent</v>
          </cell>
          <cell r="D896" t="str">
            <v>El flujo de N-NO3 a denitrificar toma en cuenta el flujo eventual de N-NO3 en el agua bruta, </v>
          </cell>
        </row>
        <row r="897">
          <cell r="A897" t="str">
            <v>m2051</v>
          </cell>
          <cell r="B897" t="str">
            <v>apportés par la recirculation de liqueurs mixtes et du flux dénitrifié en pré-anoxie dans le cas d'une </v>
          </cell>
          <cell r="C897" t="str">
            <v>NO3-N coming from the mixt liquors recirculation and the load denitrified in pre-anoxic in the case of </v>
          </cell>
          <cell r="D897" t="str">
            <v>de los equivalentes nitratos recirculados pour las liquors mixtas y el flujo denitrificado </v>
          </cell>
        </row>
        <row r="898">
          <cell r="A898" t="str">
            <v>m2052</v>
          </cell>
          <cell r="B898" t="str">
            <v>déphosphatation biologique.</v>
          </cell>
          <cell r="C898" t="str">
            <v>a biological P removal.</v>
          </cell>
          <cell r="D898" t="str">
            <v>pre-anoxica en caso de una defosfatación biologica.</v>
          </cell>
        </row>
        <row r="899">
          <cell r="A899" t="str">
            <v>m2053</v>
          </cell>
          <cell r="B899" t="str">
            <v>La cinétique de dénitrification est décomposée en cinétique exogène + cinétique endogène.</v>
          </cell>
          <cell r="C899" t="str">
            <v>The denitrication kinetic is composed of an exogen kinetic + an endogenous kinetic.</v>
          </cell>
          <cell r="D899" t="str">
            <v>La cinetica de denitrificación se compone en cinetica exogena y cinetica endogena.</v>
          </cell>
        </row>
        <row r="900">
          <cell r="A900" t="str">
            <v>m2054</v>
          </cell>
          <cell r="B900" t="str">
            <v>La DBO facilement assimilable pour la dénitrification tient compte de sa consommation éventuelle par </v>
          </cell>
          <cell r="C900" t="str">
            <v>The easily assimilated BOD for the denitrification takes into account the eventual consumption</v>
          </cell>
          <cell r="D900" t="str">
            <v>La DBO facilmente asimilable para la denitrificación toma en cuenta su eventual consumo por</v>
          </cell>
        </row>
        <row r="901">
          <cell r="A901" t="str">
            <v>m2055</v>
          </cell>
          <cell r="B901" t="str">
            <v>l'oxygène dissous de l'eau brute et de son utilisation dans la zone de pré-anoxie.</v>
          </cell>
          <cell r="C901" t="str">
            <v>by the dissolved oxygen in the raw water and by the pre-anoxic zone.</v>
          </cell>
          <cell r="D901" t="str">
            <v>el oxigeno disolvado en el agua bruta y de su utilización en la zona pre-anoxica.</v>
          </cell>
        </row>
        <row r="902">
          <cell r="A902" t="str">
            <v>m2056</v>
          </cell>
          <cell r="B902" t="str">
            <v>Les configurations de Nitrif/Dénitrif possibles sont :</v>
          </cell>
          <cell r="C902" t="str">
            <v>The possible Nitrification / Denitrification configurations are :</v>
          </cell>
          <cell r="D902" t="str">
            <v>Las configuraciones posibles de nitrif / denitrif son :</v>
          </cell>
        </row>
        <row r="903">
          <cell r="A903" t="str">
            <v>m2057</v>
          </cell>
          <cell r="B903" t="str">
            <v>Aération seule</v>
          </cell>
          <cell r="C903" t="str">
            <v>aeration only</v>
          </cell>
          <cell r="D903" t="str">
            <v>Oxidación sola</v>
          </cell>
        </row>
        <row r="904">
          <cell r="A904" t="str">
            <v>m2058</v>
          </cell>
          <cell r="B904" t="str">
            <v>Anoxie + Aération</v>
          </cell>
          <cell r="C904" t="str">
            <v>Anoxic + Aeration</v>
          </cell>
          <cell r="D904" t="str">
            <v>Anoxica + Oxidación</v>
          </cell>
        </row>
        <row r="905">
          <cell r="A905" t="str">
            <v>m2059</v>
          </cell>
          <cell r="B905" t="str">
            <v>Anoxie + Chenal séquencé</v>
          </cell>
          <cell r="C905" t="str">
            <v>Anoxic + Aeration ditch</v>
          </cell>
          <cell r="D905" t="str">
            <v>Anoxica + Canal de oxidación sequencial</v>
          </cell>
        </row>
        <row r="906">
          <cell r="A906" t="str">
            <v>m2060</v>
          </cell>
          <cell r="B906" t="str">
            <v>Anoxie + Aération + Endogène ( Trizone)</v>
          </cell>
          <cell r="C906" t="str">
            <v>Anoxic + Aeration + Endogenous ( Trizone)</v>
          </cell>
          <cell r="D906" t="str">
            <v>Anoxica + Oxidación + Endogena (Trizona)</v>
          </cell>
        </row>
        <row r="907">
          <cell r="A907" t="str">
            <v>m2061</v>
          </cell>
          <cell r="B907" t="str">
            <v>Zone de contact + Chenal séquencé</v>
          </cell>
          <cell r="C907" t="str">
            <v>Contact zone + Aeration ditch</v>
          </cell>
          <cell r="D907" t="str">
            <v>Zona de contacto + Canal de oxidación sequencial</v>
          </cell>
        </row>
        <row r="908">
          <cell r="A908" t="str">
            <v>m2062</v>
          </cell>
          <cell r="B908" t="str">
            <v>En configuration anoxie, le volume n'est plus limité par la disponibilité en DBO fa. En effet en cas de limitation</v>
          </cell>
          <cell r="C908" t="str">
            <v>In the anoxic zone, the volume  is no more limited by the easily assimilated DOB availability.</v>
          </cell>
          <cell r="D908" t="str">
            <v>En configuración anoxica, el volumen no esta mas limitado por la diponibilidad en DBO fa. En caso de DBO fa </v>
          </cell>
        </row>
        <row r="909">
          <cell r="A909" t="str">
            <v>m2063</v>
          </cell>
          <cell r="B909" t="str">
            <v>de DBO fa, la dénitrification se poursuit avec la cinétique endogène seule. Il est cependant conseillé de retenir</v>
          </cell>
          <cell r="C909" t="str">
            <v>Actually, even if the e.a. BOD is limited, the denitrification is realized thank's to the endogenous kinetic.</v>
          </cell>
          <cell r="D909" t="str">
            <v>limitante, la denitrificación sigue con la cinetica endogena sola. Por lo tanto le aconsejamos retenir </v>
          </cell>
        </row>
        <row r="910">
          <cell r="A910" t="str">
            <v>m2064</v>
          </cell>
          <cell r="B910" t="str">
            <v>un volume anoxique proche de celui proposé vis à vis de la disponibilité en DBO et de faire le complément</v>
          </cell>
          <cell r="C910" t="str">
            <v>however, we advise you to chose a volume close to the limit one and to add an endogenous volume. </v>
          </cell>
          <cell r="D910" t="str">
            <v>un volumen anoxico cerca del calculo segun la disponibilidad en carbono y añadir un </v>
          </cell>
        </row>
        <row r="911">
          <cell r="A911" t="str">
            <v>m2065</v>
          </cell>
          <cell r="B911" t="str">
            <v>de volume avec une zone endogène ; cela permet de limiter le taux de recirculation de LM.</v>
          </cell>
          <cell r="C911" t="str">
            <v>This will reduce the mixte liquor recirculation rate.</v>
          </cell>
          <cell r="D911" t="str">
            <v>volumen endogeno; esto permite reducir el % de recirculación de licores mixtas.</v>
          </cell>
        </row>
        <row r="912">
          <cell r="A912" t="str">
            <v>m2066</v>
          </cell>
          <cell r="B912" t="str">
            <v>Pour le dimensionnement de la zone Anoxie, il vous faudra jouer sur 2 paramètres : V anoxie retenu,</v>
          </cell>
          <cell r="C912" t="str">
            <v>To design the anoxic volume you will have to adjust 2 parameters : chosen anox volume and</v>
          </cell>
          <cell r="D912" t="str">
            <v>Para el diseño de la zona anoxica, hay que optimizar 2 parametros : el volumen de la zona anoxica </v>
          </cell>
        </row>
        <row r="913">
          <cell r="A913" t="str">
            <v>m2067</v>
          </cell>
          <cell r="B913" t="str">
            <v>et le taux de recirculation de LM.</v>
          </cell>
          <cell r="C913" t="str">
            <v>mixt liquor recirculation.</v>
          </cell>
          <cell r="D913" t="str">
            <v>y el % de recirculación de LM.</v>
          </cell>
        </row>
        <row r="914">
          <cell r="A914" t="str">
            <v>m2068</v>
          </cell>
        </row>
        <row r="915">
          <cell r="A915" t="str">
            <v>m2069</v>
          </cell>
        </row>
        <row r="916">
          <cell r="A916" t="str">
            <v>m2070</v>
          </cell>
          <cell r="B916" t="str">
            <v>Le dimensionnement de la dénitrification est basé sur l'objectif en NGL. Si vous souhaitez obtenir</v>
          </cell>
          <cell r="C916" t="str">
            <v>The denitrification design est based on the TN objective. If you want to get a better TN than the objective,</v>
          </cell>
          <cell r="D916" t="str">
            <v>El diseño de la denitrificación se basa sobre el objetivo de TN. Si desea obtener </v>
          </cell>
        </row>
        <row r="917">
          <cell r="A917" t="str">
            <v>m2071</v>
          </cell>
          <cell r="B917" t="str">
            <v>un NGL inférieur au rejet autorisé, indiquez cette valeur à la ligne 372 ( Objectif fixé de rejet NGL)</v>
          </cell>
          <cell r="C917" t="str">
            <v>you should indicate this value in the line 372</v>
          </cell>
          <cell r="D917" t="str">
            <v>un TN inferior a la norma autorizada, indicar este valor en la linea 372.</v>
          </cell>
        </row>
        <row r="918">
          <cell r="A918" t="str">
            <v>m2072</v>
          </cell>
          <cell r="B918" t="str">
            <v>Déphosphatation</v>
          </cell>
          <cell r="C918" t="str">
            <v>P removal</v>
          </cell>
          <cell r="D918" t="str">
            <v>Defosfatación  </v>
          </cell>
        </row>
        <row r="919">
          <cell r="A919" t="str">
            <v>m2073</v>
          </cell>
          <cell r="B919" t="str">
            <v>Dans le cas d'une déphosphatation biologique, le calcul prévoit systématiquement une zone de pré-anoxie. </v>
          </cell>
          <cell r="C919" t="str">
            <v>In the case of an biological P removal, the design propose automaticaly a pre-anoxic zone.</v>
          </cell>
          <cell r="D919" t="str">
            <v>En el caso de unea defosfatación biologica, el calculo preve automaticamente una zona de pre-anoxica.</v>
          </cell>
        </row>
        <row r="920">
          <cell r="A920" t="str">
            <v>m2074</v>
          </cell>
          <cell r="B920" t="str">
            <v>Cette zone a pour but de dénitrifier tout le N-NO3 recirculé par les boues qui pourrait perturber la</v>
          </cell>
          <cell r="C920" t="str">
            <v>The aim of this zone is to denitrify all the NO3-N recirculated by the sludge which may disturb the</v>
          </cell>
          <cell r="D920" t="str">
            <v>Este zona permite denitrificar todo el N-NO3 recirculado por los lodos, lo que puede perturbar </v>
          </cell>
        </row>
        <row r="921">
          <cell r="A921" t="str">
            <v>m2075</v>
          </cell>
          <cell r="B921" t="str">
            <v>déphosphatation en anaérobie. Le temps de séjour en anaérobie pure peut alors être réduit.</v>
          </cell>
          <cell r="C921" t="str">
            <v>the P removal in anaerobic zone. The retention time in the anaerobic zone can be reduce.</v>
          </cell>
          <cell r="D921" t="str">
            <v>la defosfatación en anaerobia. Por eso se puede reducir el tiempo de retención en anaerobia pura.</v>
          </cell>
        </row>
        <row r="922">
          <cell r="A922" t="str">
            <v>m2076</v>
          </cell>
          <cell r="B922" t="str">
            <v>Le temps de séjour en anaérobie servant de justification vis à vis du cahier des charges doit alors se baser </v>
          </cell>
          <cell r="C922" t="str">
            <v>The retention time for biological P removal used for the justification for the tender had to take into account</v>
          </cell>
          <cell r="D922" t="str">
            <v>El tiempo de retención en anaerobia utilizado para la justificación con el pliego de bases tiene que </v>
          </cell>
        </row>
        <row r="923">
          <cell r="A923" t="str">
            <v>m2077</v>
          </cell>
          <cell r="B923" t="str">
            <v>sur le volume total ( V préanox + V anaérobie)</v>
          </cell>
          <cell r="C923" t="str">
            <v>the total volume (Vpre-anoxic + Vanaerobic)</v>
          </cell>
          <cell r="D923" t="str">
            <v>calcularse con el volumen total ( V preanox + V anaerobia)</v>
          </cell>
        </row>
        <row r="924">
          <cell r="A924" t="str">
            <v>m2078</v>
          </cell>
        </row>
        <row r="925">
          <cell r="A925" t="str">
            <v>m2100</v>
          </cell>
          <cell r="B925" t="str">
            <v>DESCRIPTION</v>
          </cell>
          <cell r="C925" t="str">
            <v>DESCRIPTION</v>
          </cell>
          <cell r="D925" t="str">
            <v>DESCRIPCION</v>
          </cell>
        </row>
        <row r="926">
          <cell r="A926" t="str">
            <v>m2101</v>
          </cell>
          <cell r="B926" t="str">
            <v>La note de calcul comporte 13 onglets :</v>
          </cell>
          <cell r="C926" t="str">
            <v>The software is composed of 13 sheets</v>
          </cell>
          <cell r="D926" t="str">
            <v>Esta nota de calculo se compuesta de 13 páginas :</v>
          </cell>
        </row>
        <row r="927">
          <cell r="A927" t="str">
            <v>m2102</v>
          </cell>
          <cell r="B927" t="str">
            <v>Présentation</v>
          </cell>
          <cell r="C927" t="str">
            <v>Présentation ( Presentation)</v>
          </cell>
          <cell r="D927" t="str">
            <v>Présentation (Presentación)</v>
          </cell>
        </row>
        <row r="928">
          <cell r="A928" t="str">
            <v>m2103</v>
          </cell>
          <cell r="B928" t="str">
            <v>Langue</v>
          </cell>
          <cell r="C928" t="str">
            <v>Langue (Language)</v>
          </cell>
          <cell r="D928" t="str">
            <v>Langue (Idioma)</v>
          </cell>
        </row>
        <row r="929">
          <cell r="A929" t="str">
            <v>m2104</v>
          </cell>
          <cell r="B929" t="str">
            <v>Possibilité de choisir indépendamment la langue pour :</v>
          </cell>
          <cell r="C929" t="str">
            <v>You can choose separatly the language  for :</v>
          </cell>
          <cell r="D929" t="str">
            <v>Se puede elejir idiomas diferentes para :</v>
          </cell>
        </row>
        <row r="930">
          <cell r="A930" t="str">
            <v>m2105</v>
          </cell>
          <cell r="B930" t="str">
            <v> - la note de calcul ("Ligne Eau", "Ligne Boue")</v>
          </cell>
          <cell r="C930" t="str">
            <v> - the calculation note ("Ligne Eau", "Ligne Boue")</v>
          </cell>
          <cell r="D930" t="str">
            <v> - la nota de calculo ("Ligne Eau", "Ligne Boue")</v>
          </cell>
        </row>
        <row r="931">
          <cell r="A931" t="str">
            <v>m2106</v>
          </cell>
          <cell r="B931" t="str">
            <v> - les documents diffusables ("Bilan masse", "Récapitulatif")</v>
          </cell>
          <cell r="C931" t="str">
            <v> - the final documents ("Bilan masse", "Récapitulatif")</v>
          </cell>
          <cell r="D931" t="str">
            <v> - los documentos disponibles ("Bilan masse", "Récapitulatif")</v>
          </cell>
        </row>
        <row r="932">
          <cell r="A932" t="str">
            <v>m2107</v>
          </cell>
          <cell r="B932" t="str">
            <v>Only the sheets "Ligne Eau" and "Ligne Boue" need to be completed.</v>
          </cell>
          <cell r="C932" t="str">
            <v>Only the sheets "Ligne Eau" and "Ligne Boue" need to be completed.</v>
          </cell>
          <cell r="D932" t="str">
            <v>Solo tiene que completar las páginas "Ligne Eau" et "Ligne Boue".</v>
          </cell>
        </row>
        <row r="933">
          <cell r="A933" t="str">
            <v>m2108</v>
          </cell>
          <cell r="B933" t="str">
            <v>Ligne Eau</v>
          </cell>
          <cell r="C933" t="str">
            <v>Ligne Eau (Water Treatment Line)</v>
          </cell>
          <cell r="D933" t="str">
            <v>Ligne Eau ( Linea de Agua)</v>
          </cell>
        </row>
        <row r="934">
          <cell r="A934" t="str">
            <v>m2109</v>
          </cell>
          <cell r="B934" t="str">
            <v>Cet onglet permet le dimensionnement des bassins pour une station d'épuration à boue activée:</v>
          </cell>
          <cell r="C934" t="str">
            <v>This sheet make the design of the tanks for a WWTS with activated sludge :</v>
          </cell>
          <cell r="D934" t="str">
            <v>Esta página hace el diseño de los tanques de una EDAR con lodos activados:</v>
          </cell>
        </row>
        <row r="935">
          <cell r="A935" t="str">
            <v>m2110</v>
          </cell>
          <cell r="B935" t="str">
            <v>Décantation primaire : Conventionnel, Sédipac, Densadeg ou Aucun</v>
          </cell>
          <cell r="C935" t="str">
            <v>Primary settling : Conventional, Sedipac, Densadeg or none</v>
          </cell>
          <cell r="D935" t="str">
            <v>Primer decantación :  Convencional, Sedipac, Densadeg, Ninguno</v>
          </cell>
        </row>
        <row r="936">
          <cell r="A936" t="str">
            <v>m2111</v>
          </cell>
          <cell r="B936" t="str">
            <v>Elimination du carbone : Carbone seul ou combiné</v>
          </cell>
          <cell r="C936" t="str">
            <v>Carbon removal : only C or with N/DN</v>
          </cell>
          <cell r="D936" t="str">
            <v>Eliminación del carbono : solo o con N/DN</v>
          </cell>
        </row>
        <row r="937">
          <cell r="A937" t="str">
            <v>m2112</v>
          </cell>
          <cell r="B937" t="str">
            <v>Elimination de l'azote : Nitrification seule, Nitrification + Dénitrification selon les schémas</v>
          </cell>
          <cell r="C937" t="str">
            <v>Nitrogen removal : only nitrification, Nitrification + Denitrification with the configurations</v>
          </cell>
          <cell r="D937" t="str">
            <v>Eliminación del nitrógeno : Nitrificación sola, Nitrificación + Denitrificación con las configuraciones</v>
          </cell>
        </row>
        <row r="938">
          <cell r="A938" t="str">
            <v>m2113</v>
          </cell>
          <cell r="B938" t="str">
            <v>AO, Chenal ou Trizone</v>
          </cell>
          <cell r="C938" t="str">
            <v>AO, Step aeration ditch, Trizone</v>
          </cell>
          <cell r="D938" t="str">
            <v>AO, Canal de oxidación sequencial, Trizona</v>
          </cell>
        </row>
        <row r="939">
          <cell r="A939" t="str">
            <v>m2114</v>
          </cell>
          <cell r="B939" t="str">
            <v>Elimination du phosphore : Déphosphatation biologique, physico-chimique, simultanée ou Tertiaire</v>
          </cell>
          <cell r="C939" t="str">
            <v>Phosphorus removal : Biological P removal, physical-chemical, simultaneous or tertiary</v>
          </cell>
          <cell r="D939" t="str">
            <v>Eliminación del fósforo : Defosfatación biológica, Física-química, Simultanea o Tercera</v>
          </cell>
        </row>
        <row r="940">
          <cell r="A940" t="str">
            <v>m2115</v>
          </cell>
          <cell r="B940" t="str">
            <v>Clarification</v>
          </cell>
          <cell r="C940" t="str">
            <v>Clarification</v>
          </cell>
          <cell r="D940" t="str">
            <v>Clarificación</v>
          </cell>
        </row>
        <row r="941">
          <cell r="A941" t="str">
            <v>m2116</v>
          </cell>
          <cell r="B941" t="str">
            <v>Ligne Boue</v>
          </cell>
          <cell r="C941" t="str">
            <v>Ligne Boue (Sludge Treatment Line)</v>
          </cell>
          <cell r="D941" t="str">
            <v>Ligne Boue (Linea de Lodos)</v>
          </cell>
        </row>
        <row r="942">
          <cell r="A942" t="str">
            <v>m2117</v>
          </cell>
          <cell r="B942" t="str">
            <v>Le calcul de la ligne boue est réalisé pour le cas (c'est à dire la colonne) retenu en tête de page.</v>
          </cell>
          <cell r="C942" t="str">
            <v>Sludge returns calculation is done for the case (which means the column) chosen in the top of the sheet.</v>
          </cell>
          <cell r="D942" t="str">
            <v>El calculo de los retornos se realiza para la columna retenida en la primera linea de la página.</v>
          </cell>
        </row>
        <row r="943">
          <cell r="A943" t="str">
            <v>m2118</v>
          </cell>
          <cell r="B943" t="str">
            <v>Il faut alors définir les process de traitement retenus:</v>
          </cell>
          <cell r="C943" t="str">
            <v>You need to define the sludge treatment line processes :</v>
          </cell>
          <cell r="D943" t="str">
            <v>Hay que definir la linea de tratamiento de los fangos:</v>
          </cell>
        </row>
        <row r="944">
          <cell r="A944" t="str">
            <v>m2119</v>
          </cell>
          <cell r="B944" t="str">
            <v>Epaississement boues primaires : Epaississeur gravitaire</v>
          </cell>
          <cell r="C944" t="str">
            <v>Primary sludge thickening : Gravity thickener</v>
          </cell>
          <cell r="D944" t="str">
            <v>Espesamiento fangos primarios : espesador gravitario</v>
          </cell>
        </row>
        <row r="945">
          <cell r="A945" t="str">
            <v>m2120</v>
          </cell>
          <cell r="B945" t="str">
            <v>Epaississement boues biologiques : gravitaire, Flottateur, GDD/GDE, Centrifugeuse</v>
          </cell>
          <cell r="C945" t="str">
            <v>Biological sludge thickening : Gravity, D.A.F., Bar screen, Centrifuge </v>
          </cell>
          <cell r="D945" t="str">
            <v>Espesamiento fangos biológicos : Gravitario, Flotación, Pantalla de barra, Centrifugadora</v>
          </cell>
        </row>
        <row r="946">
          <cell r="A946" t="str">
            <v>m2121</v>
          </cell>
          <cell r="B946" t="str">
            <v>Digestion anaérobie</v>
          </cell>
          <cell r="C946" t="str">
            <v>Anaerobic digestion</v>
          </cell>
          <cell r="D946" t="str">
            <v>Digestión anaerobica</v>
          </cell>
        </row>
        <row r="947">
          <cell r="A947" t="str">
            <v>m2122</v>
          </cell>
          <cell r="B947" t="str">
            <v>Déshydratation : Centrifugeuse, Filtre presse, Filtre à bandes</v>
          </cell>
          <cell r="C947" t="str">
            <v>Dewatering : Centrifuge, Filter press, belt filter</v>
          </cell>
          <cell r="D947" t="str">
            <v>Deshidratación : Centrifugadora, Filtro prensa, Filtro con cinta</v>
          </cell>
        </row>
        <row r="948">
          <cell r="A948" t="str">
            <v>m2123</v>
          </cell>
          <cell r="B948" t="str">
            <v>Traitement final : Séchage</v>
          </cell>
          <cell r="C948" t="str">
            <v>Final treatment : Thermal drying</v>
          </cell>
          <cell r="D948" t="str">
            <v>Tratamiento final : Secado termico</v>
          </cell>
        </row>
        <row r="949">
          <cell r="A949" t="str">
            <v>m2124</v>
          </cell>
          <cell r="B949" t="str">
            <v>Les retours de boues ramenés en tête du décanteur primaire et/ou du biologique sont calculés à la fin de la page.</v>
          </cell>
          <cell r="C949" t="str">
            <v>Sludge returns sent to Primary settling and/or biological inlet are calculated at the end of the sheet.</v>
          </cell>
          <cell r="D949" t="str">
            <v>Los retornos de lodos inyectados en el Primer decantador y/o el biológico se calculan al final de la página.</v>
          </cell>
        </row>
        <row r="950">
          <cell r="A950" t="str">
            <v>m2125</v>
          </cell>
          <cell r="B950" t="str">
            <v>Ils sont à intégrer, soit manuellement soit avec le bouton Go, dans la ligne Eau pour le cas correspondant.</v>
          </cell>
          <cell r="C950" t="str">
            <v>The results need to be integrated in "Ligne Eau" sheet by hand or thank's to the button.</v>
          </cell>
          <cell r="D950" t="str">
            <v>Tienen que ser integrados en la "Ligne Eau" a mano o con el botón</v>
          </cell>
        </row>
        <row r="951">
          <cell r="A951" t="str">
            <v>m2126</v>
          </cell>
          <cell r="B951" t="str">
            <v>Les onglets Epaississement, Stockage, Digestion, Déshydratation, Séchage et Bilan sont rattachés </v>
          </cell>
          <cell r="C951" t="str">
            <v>The sheets Epaississement, Stockage, Digestion, Déshydratation, Séchage and Bilan are directly</v>
          </cell>
          <cell r="D951" t="str">
            <v>Las páginas Epaississement, Stockage, Digestion, Déshydratation, Séchage y Bilan tienen </v>
          </cell>
        </row>
        <row r="952">
          <cell r="A952" t="str">
            <v>m2127</v>
          </cell>
          <cell r="B952" t="str">
            <v>directement à ce calcul. </v>
          </cell>
          <cell r="C952" t="str">
            <v>linked to the design.</v>
          </cell>
          <cell r="D952" t="str">
            <v>una relación directa con el calculo.</v>
          </cell>
        </row>
        <row r="953">
          <cell r="A953" t="str">
            <v>m2128</v>
          </cell>
          <cell r="B953" t="str">
            <v>Bilan masse sans DP ou avec DP</v>
          </cell>
          <cell r="C953" t="str">
            <v>Bilan masse sans DP ou avec DP (Mass balance with or without PS)</v>
          </cell>
          <cell r="D953" t="str">
            <v>Bilan masse sans DP ou avec DP (Balance de masa con o sin PD)</v>
          </cell>
        </row>
        <row r="954">
          <cell r="A954" t="str">
            <v>m2129</v>
          </cell>
          <cell r="B954" t="str">
            <v>Retenir le bon bilan masse en fonction de la configuration de la station.</v>
          </cell>
          <cell r="C954" t="str">
            <v>Choose the good mass balance corresponding to the station configuration.</v>
          </cell>
          <cell r="D954" t="str">
            <v>Elejir el balance de masa que corresponde a la configuración de la estación.</v>
          </cell>
        </row>
        <row r="955">
          <cell r="A955" t="str">
            <v>m2130</v>
          </cell>
          <cell r="B955" t="str">
            <v>Le bilan masse est réalisé automatiquement pour le cas retenu dans la Ligne Boue. </v>
          </cell>
          <cell r="C955" t="str">
            <v>Mass balance is realized automaticaly for the chosen case.</v>
          </cell>
          <cell r="D955" t="str">
            <v>El balance de masa se realiza automoaticamente para el caso elejido.</v>
          </cell>
        </row>
        <row r="956">
          <cell r="A956" t="str">
            <v>m2131</v>
          </cell>
          <cell r="B956" t="str">
            <v>Récapitulatif</v>
          </cell>
          <cell r="C956" t="str">
            <v>Récapitulatif (Synthesis)</v>
          </cell>
          <cell r="D956" t="str">
            <v>Récapitulatif (Síntesis)</v>
          </cell>
        </row>
        <row r="957">
          <cell r="A957" t="str">
            <v>m2132</v>
          </cell>
          <cell r="B957" t="str">
            <v>Ce récapitulatif représente une note de calcul synthétique pouvant servir de justification vis à vis du client.</v>
          </cell>
          <cell r="C957" t="str">
            <v>It's a synthetic calculation note which can help for the justification of the design.</v>
          </cell>
          <cell r="D957" t="str">
            <v>Es una nota de calculo sintética que puede ayudar para la justificación del diseño.</v>
          </cell>
        </row>
        <row r="958">
          <cell r="A958" t="str">
            <v>m2133</v>
          </cell>
          <cell r="B958" t="str">
            <v>Il est aussi réalisé automatiquement pour le cas retenu dans la Ligne Boue. </v>
          </cell>
          <cell r="C958" t="str">
            <v>It is also realized automaticaly for the chosen case.</v>
          </cell>
          <cell r="D958" t="str">
            <v>Se realiza tambien automaticamente.</v>
          </cell>
        </row>
        <row r="959">
          <cell r="A959" t="str">
            <v>m2134</v>
          </cell>
        </row>
        <row r="960">
          <cell r="A960" t="str">
            <v>m2135</v>
          </cell>
        </row>
        <row r="961">
          <cell r="A961" t="str">
            <v>m2136</v>
          </cell>
        </row>
        <row r="962">
          <cell r="A962" t="str">
            <v>m2137</v>
          </cell>
        </row>
        <row r="963">
          <cell r="A963" t="str">
            <v>m2138</v>
          </cell>
        </row>
        <row r="964">
          <cell r="A964" t="str">
            <v>m2139</v>
          </cell>
        </row>
        <row r="965">
          <cell r="A965" t="str">
            <v>m2140</v>
          </cell>
        </row>
        <row r="966">
          <cell r="A966" t="str">
            <v>m2200</v>
          </cell>
          <cell r="B966" t="str">
            <v>mises à jour</v>
          </cell>
        </row>
        <row r="967">
          <cell r="A967" t="str">
            <v>m2201</v>
          </cell>
          <cell r="B967" t="str">
            <v>Ajout du calcul de la ligne de traitement des boues</v>
          </cell>
          <cell r="C967" t="str">
            <v>Addition of sludge treatment line calculation</v>
          </cell>
          <cell r="D967" t="str">
            <v>Añadido del calulo de la linea de tratamiento de los fangos</v>
          </cell>
        </row>
        <row r="968">
          <cell r="A968" t="str">
            <v>m2202</v>
          </cell>
          <cell r="B968" t="str">
            <v>Calcul et intégration des retours en tête de boue</v>
          </cell>
          <cell r="C968" t="str">
            <v>Calculation and integration of sludge returns</v>
          </cell>
          <cell r="D968" t="str">
            <v>Calculo e integración de los retornos de fangos</v>
          </cell>
        </row>
        <row r="969">
          <cell r="A969" t="str">
            <v>m2203</v>
          </cell>
          <cell r="B969" t="str">
            <v>Réalisation automatique de bilan masse</v>
          </cell>
          <cell r="C969" t="str">
            <v>Automatical creation of mass balance</v>
          </cell>
          <cell r="D969" t="str">
            <v>Realización automática de balance de masa</v>
          </cell>
        </row>
        <row r="970">
          <cell r="A970" t="str">
            <v>m2204</v>
          </cell>
          <cell r="B970" t="str">
            <v>Traduction de tous les documents en 3 langues</v>
          </cell>
          <cell r="C970" t="str">
            <v>Traduction of the documents in 3 languages</v>
          </cell>
          <cell r="D970" t="str">
            <v>Traducción de todos los documentos en 3 idiomas</v>
          </cell>
        </row>
        <row r="971">
          <cell r="A971" t="str">
            <v>m2205</v>
          </cell>
          <cell r="B971" t="str">
            <v>Mise à jour de certaines formules et approches de calcul: </v>
          </cell>
          <cell r="C971" t="str">
            <v>Modif of some formula : SRT, sludge production, </v>
          </cell>
          <cell r="D971" t="str">
            <v>Modificación de algunas formulas : edad de fango, producción de fangos, </v>
          </cell>
        </row>
        <row r="972">
          <cell r="A972" t="str">
            <v>m2206</v>
          </cell>
          <cell r="B972" t="str">
            <v>typologie, rendement DP, dénitrification, déphosphatation</v>
          </cell>
          <cell r="C972" t="str">
            <v>DN kinetic</v>
          </cell>
          <cell r="D972" t="str">
            <v>cinética de DN</v>
          </cell>
        </row>
        <row r="973">
          <cell r="A973" t="str">
            <v>m2207</v>
          </cell>
          <cell r="B973" t="str">
            <v>Enregistrement sous une version compatible Excel 95, 97 et 2000</v>
          </cell>
          <cell r="C973" t="str">
            <v>Saved on Excel 95, 97 and 200 version</v>
          </cell>
          <cell r="D973" t="str">
            <v>Registro en version compatible a excel 95, 97 y 2000.</v>
          </cell>
        </row>
        <row r="974">
          <cell r="A974" t="str">
            <v>m2208</v>
          </cell>
          <cell r="B974" t="str">
            <v>Ajout alarme sur temps séjour mini en anoxie</v>
          </cell>
          <cell r="C974" t="str">
            <v>Alarm on mini retention time in anoxic zone</v>
          </cell>
          <cell r="D974" t="str">
            <v>Alarma en el tiempo de retención mini en anoxica</v>
          </cell>
        </row>
        <row r="975">
          <cell r="A975" t="str">
            <v>m2209</v>
          </cell>
          <cell r="B975" t="str">
            <v>Modifs de mise en forme</v>
          </cell>
          <cell r="C975" t="str">
            <v>Changes on general shaping</v>
          </cell>
          <cell r="D975" t="str">
            <v>Modifs de puesta en forma</v>
          </cell>
        </row>
        <row r="976">
          <cell r="A976" t="str">
            <v>m2210</v>
          </cell>
          <cell r="B976" t="str">
            <v>Ajout alarme sur proportion de Vanox dans chenal</v>
          </cell>
          <cell r="C976" t="str">
            <v>Alarm on anoxic zone proportion in ditch</v>
          </cell>
          <cell r="D976" t="str">
            <v>Alarma en la proporción de Vanox en el canal</v>
          </cell>
        </row>
        <row r="977">
          <cell r="A977" t="str">
            <v>m2211</v>
          </cell>
          <cell r="B977" t="str">
            <v>Modif sur la conso de Fe et Al en déphos. simultanée</v>
          </cell>
          <cell r="C977" t="str">
            <v>Changes on Fe and Al consumption in simultaneous P removal</v>
          </cell>
          <cell r="D977" t="str">
            <v>Modifs en el consumo de Fe y Al en defosfatación simultanea</v>
          </cell>
        </row>
        <row r="978">
          <cell r="A978" t="str">
            <v>m2212</v>
          </cell>
          <cell r="B978" t="str">
            <v>Compléments sur le calcul de l'apport de carbone externe</v>
          </cell>
          <cell r="C978" t="str">
            <v>Addition on external carbon calculation</v>
          </cell>
          <cell r="D978" t="str">
            <v>Añadido en el calculo de carbono external</v>
          </cell>
        </row>
        <row r="979">
          <cell r="A979" t="str">
            <v>m2213</v>
          </cell>
          <cell r="B979" t="str">
            <v>Modif surfaces standards Sédipac</v>
          </cell>
          <cell r="C979" t="str">
            <v>Modif Sedipac standard areas</v>
          </cell>
          <cell r="D979" t="str">
            <v>Modifs de las areas estandar del Sédipac</v>
          </cell>
        </row>
        <row r="980">
          <cell r="A980" t="str">
            <v>m2214</v>
          </cell>
          <cell r="B980" t="str">
            <v>Compléments sur le calcul du bilan réactifs</v>
          </cell>
          <cell r="C980" t="str">
            <v>Addition on reagent balance calculation</v>
          </cell>
          <cell r="D980" t="str">
            <v>Añadido del balance de reactivos</v>
          </cell>
        </row>
        <row r="981">
          <cell r="A981" t="str">
            <v>m2215</v>
          </cell>
          <cell r="B981" t="str">
            <v>Ajustement du calcul conso DBO par O2 eau brute</v>
          </cell>
          <cell r="C981" t="str">
            <v>Modif of BOD consumption for raw water O2 conc</v>
          </cell>
          <cell r="D981" t="str">
            <v>Modif del consumo de DBO por el O2 del agua bruta</v>
          </cell>
        </row>
        <row r="982">
          <cell r="A982" t="str">
            <v>m2216</v>
          </cell>
          <cell r="B982" t="str">
            <v>Ajustement de la prise en compte des boues biomaster</v>
          </cell>
          <cell r="C982" t="str">
            <v>Modif of biomaster sludge calculation</v>
          </cell>
          <cell r="D982" t="str">
            <v>Modif del calculo de los fangos del biomaster</v>
          </cell>
        </row>
        <row r="983">
          <cell r="A983" t="str">
            <v>m2217</v>
          </cell>
          <cell r="B983" t="str">
            <v>Ajout calcul de déphosphatation en filtration tertiaire</v>
          </cell>
          <cell r="C983" t="str">
            <v>Addition of P removal in tertiary filtration</v>
          </cell>
          <cell r="D983" t="str">
            <v>Añadido de la defosfatacion en filtración tercera</v>
          </cell>
        </row>
        <row r="984">
          <cell r="A984" t="str">
            <v>m2218</v>
          </cell>
          <cell r="B984" t="str">
            <v>Ajustement qualité eau traitée après filtration tertiaire</v>
          </cell>
          <cell r="C984" t="str">
            <v>Modif treated water quality after tertiary filtration</v>
          </cell>
          <cell r="D984" t="str">
            <v>Modif del agau tratada en salida de una filtracion tercera</v>
          </cell>
        </row>
        <row r="985">
          <cell r="A985" t="str">
            <v>m2219</v>
          </cell>
          <cell r="B985" t="str">
            <v>Prise en compte de la déphos tertiaire en aval de la déphos simultanée</v>
          </cell>
          <cell r="C985" t="str">
            <v>Possibility to have a tertiairy P removal after a simultaneous one</v>
          </cell>
          <cell r="D985" t="str">
            <v>Posibilidad de elejir una defos tercera despues une defos simultanea</v>
          </cell>
        </row>
        <row r="986">
          <cell r="A986" t="str">
            <v>m2220</v>
          </cell>
          <cell r="B986" t="str">
            <v>Borne sur le taux d'assimilation max en déphos bio</v>
          </cell>
          <cell r="C986" t="str">
            <v>Maximum value of assimilation rate in biological P removal</v>
          </cell>
          <cell r="D986" t="str">
            <v>Valor maxima del % de asimilación del P</v>
          </cell>
        </row>
        <row r="987">
          <cell r="A987" t="str">
            <v>m2221</v>
          </cell>
          <cell r="B987" t="str">
            <v>Ajout controls des ratio pour typo standard</v>
          </cell>
          <cell r="C987" t="str">
            <v>Addition of checking on typology ratio</v>
          </cell>
          <cell r="D987" t="str">
            <v>Añadido de control en los ratio de la tipología</v>
          </cell>
        </row>
        <row r="988">
          <cell r="A988" t="str">
            <v>m2222</v>
          </cell>
          <cell r="B988" t="str">
            <v>Prise en compte de l'eau du by-pass DP à l'entrée biologique</v>
          </cell>
          <cell r="C988" t="str">
            <v>PS by pass water included in biological inlet influent</v>
          </cell>
          <cell r="D988" t="str">
            <v>Agua del by pass PD incluido en agua entrada biológico</v>
          </cell>
        </row>
        <row r="989">
          <cell r="A989" t="str">
            <v>m2223</v>
          </cell>
          <cell r="B989" t="str">
            <v>Modif besoins O2 pointe dans configuration anox+chenal</v>
          </cell>
          <cell r="C989" t="str">
            <v>Modif peak O2 needs in anoxic+oxic ditch configuration</v>
          </cell>
          <cell r="D989" t="str">
            <v>Modif necedidades O2 punta en configuración anox+canal oxi</v>
          </cell>
        </row>
        <row r="990">
          <cell r="A990" t="str">
            <v>m2224</v>
          </cell>
          <cell r="B990" t="str">
            <v>Choix du by pass du DP ou pas</v>
          </cell>
          <cell r="C990" t="str">
            <v>Choice of PST by pass or not</v>
          </cell>
          <cell r="D990" t="str">
            <v>Eleccion del by pass del PD o no</v>
          </cell>
        </row>
        <row r="991">
          <cell r="A991" t="str">
            <v>m2225</v>
          </cell>
          <cell r="B991" t="str">
            <v>Choix du coeff de pointe d'oxygène retenu</v>
          </cell>
          <cell r="C991" t="str">
            <v>Choice of oxygen peak coefficient</v>
          </cell>
          <cell r="D991" t="str">
            <v>Eleccion de coef de punta del oxígeno</v>
          </cell>
        </row>
        <row r="992">
          <cell r="A992" t="str">
            <v>m2226</v>
          </cell>
          <cell r="B992" t="str">
            <v>Bouton pour copier les valeurs de la colonne D</v>
          </cell>
          <cell r="C992" t="str">
            <v>Button to copy column D datas</v>
          </cell>
          <cell r="D992" t="str">
            <v>Botón para copiar los valores de la columna D</v>
          </cell>
        </row>
        <row r="993">
          <cell r="A993" t="str">
            <v>m2227</v>
          </cell>
          <cell r="B993" t="str">
            <v>Mise à jour du récapitulatif</v>
          </cell>
          <cell r="C993" t="str">
            <v>Update of Recapitulatif sheet</v>
          </cell>
          <cell r="D993" t="str">
            <v>Actualización dela hoja Recapitulatif</v>
          </cell>
        </row>
        <row r="994">
          <cell r="A994" t="str">
            <v>m2228</v>
          </cell>
          <cell r="B994" t="str">
            <v>Résolution pblm boutons choix colonne F renvoyant en colonne D</v>
          </cell>
          <cell r="C994" t="str">
            <v>Pblm resolution of column F butons refering to column D</v>
          </cell>
          <cell r="D994" t="str">
            <v>Resolución pblm botons columna F referendd a columna D</v>
          </cell>
        </row>
        <row r="995">
          <cell r="A995" t="str">
            <v>m2229</v>
          </cell>
          <cell r="B995" t="str">
            <v>Choix du Q max pluie admis sur biologique</v>
          </cell>
          <cell r="C995" t="str">
            <v>Choice of max wet peak flow admited on biological</v>
          </cell>
          <cell r="D995" t="str">
            <v>Elección del cuadal maxi de lluvia damitido on biológico</v>
          </cell>
        </row>
        <row r="996">
          <cell r="A996" t="str">
            <v>m2230</v>
          </cell>
          <cell r="B996" t="str">
            <v>Choix prise en compte des boues du clarif pour calcul A, Cm</v>
          </cell>
          <cell r="C996" t="str">
            <v>Choice of clarif sludge taken into account in A, Cm calcul</v>
          </cell>
          <cell r="D996" t="str">
            <v>Elección de tener en cuenta lodos desl clarificador para A, Cm</v>
          </cell>
        </row>
        <row r="997">
          <cell r="A997" t="str">
            <v>m2230a</v>
          </cell>
          <cell r="B997" t="str">
            <v>Calcul des boues contenues dans le clarif par rapport à h4 et non plus h3+h4</v>
          </cell>
          <cell r="C997" t="str">
            <v>Calcul of sludge included in clarifier with h4 and no more h3+h4</v>
          </cell>
          <cell r="D997" t="str">
            <v>Calculo de los lodos en el clarificador con h4 et no h3+h4</v>
          </cell>
        </row>
        <row r="998">
          <cell r="A998" t="str">
            <v>m2231</v>
          </cell>
          <cell r="B998" t="str">
            <v>Choix de l'utilisation d'aérateurs de surface dans le chenal séquencé</v>
          </cell>
          <cell r="C998" t="str">
            <v>Choice of surface aerator use in the oxidation ditch</v>
          </cell>
          <cell r="D998" t="str">
            <v>Elección de la utilización de aeratores de superficie en el canal</v>
          </cell>
        </row>
        <row r="999">
          <cell r="A999" t="str">
            <v>m2232</v>
          </cell>
          <cell r="B999" t="str">
            <v>Visualisation des formules</v>
          </cell>
          <cell r="C999" t="str">
            <v>Formula visualisation</v>
          </cell>
          <cell r="D999" t="str">
            <v>Visualización de las formulas</v>
          </cell>
        </row>
        <row r="1000">
          <cell r="A1000" t="str">
            <v>m2233</v>
          </cell>
          <cell r="B1000" t="str">
            <v>Modification bouton copier/coller colonne D + Résolution pblm Go retours</v>
          </cell>
          <cell r="C1000" t="str">
            <v>Modification buton copy column D + buton Go for returns</v>
          </cell>
          <cell r="D1000" t="str">
            <v>Modificación boton copier columna D + buton retornos Go</v>
          </cell>
        </row>
        <row r="1001">
          <cell r="A1001" t="str">
            <v>m2234</v>
          </cell>
          <cell r="B1001" t="str">
            <v>% P-PO4 par défaut sur EB pris à 60% au lieu 55%</v>
          </cell>
          <cell r="C1001" t="str">
            <v>% PO4-P on raw water = 60% as default</v>
          </cell>
          <cell r="D1001" t="str">
            <v>% P-PO4 del agua bruta =60 %</v>
          </cell>
        </row>
        <row r="1002">
          <cell r="A1002" t="str">
            <v>m2235</v>
          </cell>
          <cell r="B1002" t="str">
            <v>Modification calcul Récapitulatif des volumes</v>
          </cell>
          <cell r="C1002" t="str">
            <v>Modification of Volumes summary calculation</v>
          </cell>
          <cell r="D1002" t="str">
            <v>Modificación del calculo Recapitulo de los volumenes</v>
          </cell>
        </row>
        <row r="1003">
          <cell r="A1003" t="str">
            <v>m2236</v>
          </cell>
          <cell r="B1003" t="str">
            <v>Réduction de 15% du P suraccumulé pour calcul conso réactif exploitation</v>
          </cell>
          <cell r="C1003" t="str">
            <v>15% reduction of overacumulated P for calculation of reagent consumption for operation</v>
          </cell>
          <cell r="D1003" t="str">
            <v>Redeucción de un 15% del P sobre acumulado para el calculo del consumo de reactivo para explotación</v>
          </cell>
        </row>
        <row r="1004">
          <cell r="A1004" t="str">
            <v>m2237</v>
          </cell>
        </row>
        <row r="1005">
          <cell r="A1005" t="str">
            <v>m2238</v>
          </cell>
        </row>
        <row r="1006">
          <cell r="A1006" t="str">
            <v>m2239</v>
          </cell>
        </row>
        <row r="1007">
          <cell r="A1007" t="str">
            <v>m2240</v>
          </cell>
        </row>
        <row r="1008">
          <cell r="A1008" t="str">
            <v>m2241</v>
          </cell>
        </row>
        <row r="1010">
          <cell r="A1010" t="str">
            <v>m3000</v>
          </cell>
          <cell r="B1010" t="str">
            <v>DEFINITION DE LA LIGNE BOUE</v>
          </cell>
          <cell r="C1010" t="str">
            <v>SLUDGE LINE DEFINITION</v>
          </cell>
          <cell r="D1010" t="str">
            <v>DEFINICION DEL TRATAMIENTO DE FANGOS</v>
          </cell>
        </row>
        <row r="1011">
          <cell r="A1011" t="str">
            <v>m3000a</v>
          </cell>
          <cell r="B1011" t="str">
            <v>Prise en compte des retours pour la colonne                       de la Ligne Eau</v>
          </cell>
          <cell r="C1011" t="str">
            <v>Calculation of the returns for the column                          of the "Ligne Eau"</v>
          </cell>
          <cell r="D1011" t="str">
            <v>        Calculo de los retornos para la columa                    de la "Ligne Eau"</v>
          </cell>
        </row>
        <row r="1012">
          <cell r="A1012" t="str">
            <v>m3000b</v>
          </cell>
          <cell r="B1012" t="str">
            <v>aucune</v>
          </cell>
          <cell r="C1012" t="str">
            <v>none</v>
          </cell>
          <cell r="D1012" t="str">
            <v>ninguna</v>
          </cell>
        </row>
        <row r="1013">
          <cell r="A1013" t="str">
            <v>m3001</v>
          </cell>
          <cell r="B1013" t="str">
            <v>Epaississement</v>
          </cell>
          <cell r="C1013" t="str">
            <v>Thickening</v>
          </cell>
          <cell r="D1013" t="str">
            <v>Espesamiento</v>
          </cell>
        </row>
        <row r="1014">
          <cell r="A1014" t="str">
            <v>m3002</v>
          </cell>
          <cell r="B1014" t="str">
            <v>Filière sans décantation primaire</v>
          </cell>
          <cell r="C1014" t="str">
            <v>Configuration without primary settling</v>
          </cell>
          <cell r="D1014" t="str">
            <v>Configuración sin primer decantación</v>
          </cell>
        </row>
        <row r="1015">
          <cell r="A1015" t="str">
            <v>m3003</v>
          </cell>
          <cell r="B1015" t="str">
            <v>S'il n'y a pas de décanteur primaire, choix de l'épaississeur :</v>
          </cell>
          <cell r="C1015" t="str">
            <v>If there is no primary settling, choice of the thickening</v>
          </cell>
          <cell r="D1015" t="str">
            <v>Si no hay primer decantación, elección del espesamiento :</v>
          </cell>
        </row>
        <row r="1016">
          <cell r="A1016" t="str">
            <v>m3004</v>
          </cell>
          <cell r="B1016" t="str">
            <v>Epaississeur gravitaire</v>
          </cell>
          <cell r="C1016" t="str">
            <v>Gravity Thickener</v>
          </cell>
          <cell r="D1016" t="str">
            <v>Espesador gravitario</v>
          </cell>
        </row>
        <row r="1017">
          <cell r="A1017" t="str">
            <v>m3005</v>
          </cell>
          <cell r="B1017" t="str">
            <v>Flottateur</v>
          </cell>
          <cell r="C1017" t="str">
            <v>D. A. F.</v>
          </cell>
          <cell r="D1017" t="str">
            <v>Flotación</v>
          </cell>
        </row>
        <row r="1018">
          <cell r="A1018" t="str">
            <v>m3006</v>
          </cell>
          <cell r="B1018" t="str">
            <v>GDD/GDE</v>
          </cell>
          <cell r="C1018" t="str">
            <v>Bar screen</v>
          </cell>
          <cell r="D1018" t="str">
            <v>Pantalla de barra</v>
          </cell>
        </row>
        <row r="1019">
          <cell r="A1019" t="str">
            <v>m3007</v>
          </cell>
          <cell r="B1019" t="str">
            <v>Centrifugeuse</v>
          </cell>
          <cell r="C1019" t="str">
            <v>Centrifuge</v>
          </cell>
          <cell r="D1019" t="str">
            <v>Centrifugadora</v>
          </cell>
        </row>
        <row r="1020">
          <cell r="A1020" t="str">
            <v>m3008</v>
          </cell>
          <cell r="B1020" t="str">
            <v>Afin de rendre compte du relargage éventuel dans la bâche de stockage, après épaississement, indiquez la durée du temps de séjour dans la bâche. Si le stockage est nul, indiquez 0.</v>
          </cell>
          <cell r="C1020" t="str">
            <v>To take into account the posible ? In the storage tank after thickening, indicate the retention time in the tank. If no storage, indicate 0.</v>
          </cell>
          <cell r="D1020" t="str">
            <v>Para tener en cuenta las posibles escapes en el tanque de almacenador despues espesamiento, indicar el tiempo de retención en el tanque. Si no hay almacenamiento, indicar 0.</v>
          </cell>
        </row>
        <row r="1021">
          <cell r="A1021" t="str">
            <v>m3009</v>
          </cell>
          <cell r="B1021" t="str">
            <v>Temps de stockage =</v>
          </cell>
          <cell r="C1021" t="str">
            <v>Storage delay =</v>
          </cell>
          <cell r="D1021" t="str">
            <v>Duración de almacenamiento =</v>
          </cell>
        </row>
        <row r="1022">
          <cell r="A1022" t="str">
            <v>m3010</v>
          </cell>
          <cell r="B1022" t="str">
            <v>Filière avec décantation primaire</v>
          </cell>
          <cell r="C1022" t="str">
            <v>Configuration with primary settling</v>
          </cell>
          <cell r="D1022" t="str">
            <v>Configuración con primer decantación</v>
          </cell>
        </row>
        <row r="1023">
          <cell r="A1023" t="str">
            <v>m3011</v>
          </cell>
          <cell r="B1023" t="str">
            <v>S'il y a décantation primaire, les boues primaires et biologiques sont traitées séparément.</v>
          </cell>
          <cell r="C1023" t="str">
            <v>With primary settling, primary and biological sludge are treated separately.</v>
          </cell>
          <cell r="D1023" t="str">
            <v>Si hay una primer decantación, los fangos primarios y biológicos se tratan separadamente.</v>
          </cell>
        </row>
        <row r="1024">
          <cell r="A1024" t="str">
            <v>m3012</v>
          </cell>
          <cell r="B1024" t="str">
            <v>Dans le cas d'un épaississement mixte boue primaire + boue biologique, nous étudions tout de même séparément le comportement de la boue primaire et celui de la boue biologique. Par conséquent, il est demandé de qualifier individuellement l'épaississement </v>
          </cell>
          <cell r="C1024" t="str">
            <v>In the case of a mixed sludge thickening (primary + biological sludge), we study separately the behaviour of primary and biological sludge. So you need to inform individualy the thickening.</v>
          </cell>
          <cell r="D1024" t="str">
            <v>En el caso de un especamiento mixto fango primario + biológico, se estudie el comportamiento de los fangos separadamenta. Entonces, hay que qualificar individualmente el espesamiento de los fangos primarios y biológicos.</v>
          </cell>
        </row>
        <row r="1025">
          <cell r="A1025" t="str">
            <v>m3013</v>
          </cell>
          <cell r="B1025" t="str">
            <v>Choix de l'épaississeur des boues primaires :</v>
          </cell>
          <cell r="C1025" t="str">
            <v>Choice of primary sludge thickening :</v>
          </cell>
          <cell r="D1025" t="str">
            <v>Elección del espesamiento de los fangos primarios</v>
          </cell>
        </row>
        <row r="1026">
          <cell r="A1026" t="str">
            <v>m3014</v>
          </cell>
          <cell r="B1026" t="str">
            <v>Choix de l'épaississeur des boues biologiques :</v>
          </cell>
          <cell r="C1026" t="str">
            <v>Choice of biological sludge thickening :</v>
          </cell>
          <cell r="D1026" t="str">
            <v>Elección del espesamiento de los fangos biológicos</v>
          </cell>
        </row>
        <row r="1027">
          <cell r="A1027" t="str">
            <v>m3015</v>
          </cell>
          <cell r="B1027" t="str">
            <v>Poste de polymère pour l'épaississement des boues biologiques ?</v>
          </cell>
          <cell r="C1027" t="str">
            <v>Polymer unit for biological sludge thickening ?</v>
          </cell>
          <cell r="D1027" t="str">
            <v>Unidad de polímero para el espesamiento de los fangos biológicos ?</v>
          </cell>
        </row>
        <row r="1028">
          <cell r="A1028" t="str">
            <v>m3015b</v>
          </cell>
          <cell r="B1028" t="str">
            <v>polymère conseillé !</v>
          </cell>
          <cell r="C1028" t="str">
            <v>Polymer recommended !</v>
          </cell>
          <cell r="D1028" t="str">
            <v>polímero aconsejado !</v>
          </cell>
        </row>
        <row r="1029">
          <cell r="A1029" t="str">
            <v>m3016</v>
          </cell>
          <cell r="B1029" t="str">
            <v>Concentration de la solution mère </v>
          </cell>
          <cell r="C1029" t="str">
            <v>Solution concentration</v>
          </cell>
          <cell r="D1029" t="str">
            <v>Concentración del producto industrial</v>
          </cell>
        </row>
        <row r="1030">
          <cell r="A1030" t="str">
            <v>m3016b</v>
          </cell>
          <cell r="B1030" t="str">
            <v>Dosage</v>
          </cell>
          <cell r="C1030" t="str">
            <v>Dosage</v>
          </cell>
          <cell r="D1030" t="str">
            <v>Dosaje</v>
          </cell>
        </row>
        <row r="1031">
          <cell r="A1031" t="str">
            <v>m3017</v>
          </cell>
          <cell r="B1031" t="str">
            <v>Concentration de la préparation</v>
          </cell>
          <cell r="C1031" t="str">
            <v>Preparation concentration</v>
          </cell>
          <cell r="D1031" t="str">
            <v>Concentración de la preparación</v>
          </cell>
        </row>
        <row r="1032">
          <cell r="A1032" t="str">
            <v>m3018</v>
          </cell>
          <cell r="B1032" t="str">
            <v>Taux de polymère</v>
          </cell>
          <cell r="C1032" t="str">
            <v>Polymer rate</v>
          </cell>
          <cell r="D1032" t="str">
            <v>Proporción de polímero</v>
          </cell>
        </row>
        <row r="1033">
          <cell r="A1033" t="str">
            <v>m3019</v>
          </cell>
          <cell r="B1033" t="str">
            <v>Dans le cas de la GDD/GDE ou de la centrifugeuse,</v>
          </cell>
          <cell r="C1033" t="str">
            <v>In the case of bar screen or centrifuge,</v>
          </cell>
          <cell r="D1033" t="str">
            <v>En el caso de une pantalla de barra o de una centrifugadora,</v>
          </cell>
        </row>
        <row r="1034">
          <cell r="A1034" t="str">
            <v>m3020</v>
          </cell>
          <cell r="B1034" t="str">
            <v>Temps de fonctionnement de l'épaississement :</v>
          </cell>
          <cell r="C1034" t="str">
            <v>Thickening running time :</v>
          </cell>
          <cell r="D1034" t="str">
            <v>Tiempo de funcionamiento del espesamiento:</v>
          </cell>
        </row>
        <row r="1035">
          <cell r="A1035" t="str">
            <v>m3021</v>
          </cell>
        </row>
        <row r="1036">
          <cell r="A1036" t="str">
            <v>m3022</v>
          </cell>
          <cell r="B1036" t="str">
            <v>Pas de décantation primaire</v>
          </cell>
          <cell r="C1036" t="str">
            <v>No primary settling</v>
          </cell>
          <cell r="D1036" t="str">
            <v>Sin primer decantación</v>
          </cell>
        </row>
        <row r="1037">
          <cell r="A1037" t="str">
            <v>m3023</v>
          </cell>
          <cell r="B1037" t="str">
            <v>D'où sont extraites les boues biologiques ?</v>
          </cell>
          <cell r="C1037" t="str">
            <v>Where are sludges extracted from ?</v>
          </cell>
          <cell r="D1037" t="str">
            <v>¿De donde se extraee los fangos biológicos ?</v>
          </cell>
        </row>
        <row r="1038">
          <cell r="A1038" t="str">
            <v>m3024</v>
          </cell>
          <cell r="B1038" t="str">
            <v>du bassin biologique</v>
          </cell>
          <cell r="C1038" t="str">
            <v>biological reactor</v>
          </cell>
          <cell r="D1038" t="str">
            <v>del tanque biológico</v>
          </cell>
        </row>
        <row r="1039">
          <cell r="A1039" t="str">
            <v>m3025</v>
          </cell>
          <cell r="B1039" t="str">
            <v>du clarificateur </v>
          </cell>
          <cell r="C1039" t="str">
            <v>clarifier</v>
          </cell>
          <cell r="D1039" t="str">
            <v>del clarificador</v>
          </cell>
        </row>
        <row r="1040">
          <cell r="A1040" t="str">
            <v>m3026</v>
          </cell>
          <cell r="B1040" t="str">
            <v>Epaississement commun</v>
          </cell>
          <cell r="C1040" t="str">
            <v>Common thickening</v>
          </cell>
          <cell r="D1040" t="str">
            <v>Espesamiento comon</v>
          </cell>
        </row>
        <row r="1041">
          <cell r="A1041" t="str">
            <v>m3027</v>
          </cell>
        </row>
        <row r="1042">
          <cell r="A1042" t="str">
            <v>m3030</v>
          </cell>
          <cell r="B1042" t="str">
            <v>Apport de boue externe</v>
          </cell>
          <cell r="C1042" t="str">
            <v>External sludge injection</v>
          </cell>
          <cell r="D1042" t="str">
            <v>Añadido de fangos externos</v>
          </cell>
        </row>
        <row r="1043">
          <cell r="A1043" t="str">
            <v>m3031</v>
          </cell>
        </row>
        <row r="1044">
          <cell r="A1044" t="str">
            <v>m3032</v>
          </cell>
        </row>
        <row r="1045">
          <cell r="A1045" t="str">
            <v>m3033</v>
          </cell>
          <cell r="B1045" t="str">
            <v>dans les boues bio</v>
          </cell>
        </row>
        <row r="1046">
          <cell r="A1046" t="str">
            <v>m3034</v>
          </cell>
          <cell r="B1046" t="str">
            <v>à l'entrée du biologique</v>
          </cell>
        </row>
        <row r="1047">
          <cell r="A1047" t="str">
            <v>m3035</v>
          </cell>
          <cell r="B1047" t="str">
            <v>Consulter la DTG pour définir le lieu exact d'injection des boues externes</v>
          </cell>
          <cell r="C1047" t="str">
            <v>Consult DTG to define external sludge injection place</v>
          </cell>
          <cell r="D1047" t="str">
            <v>Consultar la DTG par elejir el lugar de inyección de los fangos externos</v>
          </cell>
        </row>
        <row r="1048">
          <cell r="A1048" t="str">
            <v>m3036</v>
          </cell>
          <cell r="B1048" t="str">
            <v>et la prise en compte des boues externes</v>
          </cell>
          <cell r="C1048" t="str">
            <v>.</v>
          </cell>
          <cell r="D1048" t="str">
            <v>.</v>
          </cell>
        </row>
        <row r="1049">
          <cell r="A1049" t="str">
            <v>m3037</v>
          </cell>
        </row>
        <row r="1050">
          <cell r="A1050" t="str">
            <v>m3038</v>
          </cell>
        </row>
        <row r="1051">
          <cell r="A1051" t="str">
            <v>m3050</v>
          </cell>
          <cell r="B1051" t="str">
            <v>Digestion anaérobie</v>
          </cell>
          <cell r="C1051" t="str">
            <v>Anaerobic digestion</v>
          </cell>
          <cell r="D1051" t="str">
            <v>Digestión anaerobia</v>
          </cell>
        </row>
        <row r="1052">
          <cell r="A1052" t="str">
            <v>m3051</v>
          </cell>
          <cell r="B1052" t="str">
            <v>Y a-t-il une digestion anaérobie ?</v>
          </cell>
          <cell r="C1052" t="str">
            <v>Is there any anaerobic digestion ?</v>
          </cell>
          <cell r="D1052" t="str">
            <v>¿Hay una digestión anaerobia ?</v>
          </cell>
        </row>
        <row r="1053">
          <cell r="A1053" t="str">
            <v>m3052</v>
          </cell>
          <cell r="B1053" t="str">
            <v>Si oui, quel est le taux d'abattement des MV ?</v>
          </cell>
          <cell r="C1053" t="str">
            <v>If yes, which is VS elimination rate ?</v>
          </cell>
          <cell r="D1053" t="str">
            <v>Cual es el % de eliminación de SV</v>
          </cell>
        </row>
        <row r="1054">
          <cell r="A1054" t="str">
            <v>m3053</v>
          </cell>
          <cell r="B1054" t="str">
            <v>pour les boues primaires</v>
          </cell>
          <cell r="C1054" t="str">
            <v>for primary sludge</v>
          </cell>
          <cell r="D1054" t="str">
            <v>para los fangos primarios</v>
          </cell>
        </row>
        <row r="1055">
          <cell r="A1055" t="str">
            <v>m3054</v>
          </cell>
          <cell r="B1055" t="str">
            <v>pour les boues biologiques</v>
          </cell>
          <cell r="C1055" t="str">
            <v>for biological sludge</v>
          </cell>
          <cell r="D1055" t="str">
            <v>para los fangos biológicos</v>
          </cell>
        </row>
        <row r="1056">
          <cell r="A1056" t="str">
            <v>m3054b</v>
          </cell>
          <cell r="B1056" t="str">
            <v>Ce qui donne un taux d'abattement moyen des MV de :</v>
          </cell>
          <cell r="C1056" t="str">
            <v>Which give an average VS elimination rate :</v>
          </cell>
          <cell r="D1056" t="str">
            <v>Lo que hace un % de eliminación media de SV de :</v>
          </cell>
        </row>
        <row r="1057">
          <cell r="A1057" t="str">
            <v>m3055</v>
          </cell>
          <cell r="B1057" t="str">
            <v>Se référer à la base KM boues pour les valeurs d'abattement des MV selon les cas.</v>
          </cell>
        </row>
        <row r="1058">
          <cell r="A1058" t="str">
            <v>m3056</v>
          </cell>
          <cell r="B1058" t="str">
            <v>Dans le cas d'une digestion anaérobie avant déshydratation, les effets sur la qualité de la boue d'un stockage ne sont pas pris en considération.</v>
          </cell>
          <cell r="C1058" t="str">
            <v>In the case of anaerobic digestion before dewatering, the effects on storage sludge quality are not taken into account.</v>
          </cell>
          <cell r="D1058" t="str">
            <v>En el caso de una digestión anaerobia antes de deshidratación, ne se tiene cuenta de los efectos sobre la calidad de los fangos de almacenamiento.</v>
          </cell>
        </row>
        <row r="1059">
          <cell r="A1059" t="str">
            <v>m3057</v>
          </cell>
        </row>
        <row r="1060">
          <cell r="A1060" t="str">
            <v>m3058</v>
          </cell>
        </row>
        <row r="1061">
          <cell r="A1061" t="str">
            <v>m3059</v>
          </cell>
        </row>
        <row r="1062">
          <cell r="A1062" t="str">
            <v>m3100</v>
          </cell>
          <cell r="B1062" t="str">
            <v>Déshydratation</v>
          </cell>
          <cell r="C1062" t="str">
            <v>Dewatering</v>
          </cell>
          <cell r="D1062" t="str">
            <v>Deshidratación</v>
          </cell>
        </row>
        <row r="1063">
          <cell r="A1063" t="str">
            <v>m3101</v>
          </cell>
          <cell r="B1063" t="str">
            <v>Quel type de déshydratation avez-vous choisi ?</v>
          </cell>
          <cell r="C1063" t="str">
            <v>What kind of dewatering ?</v>
          </cell>
          <cell r="D1063" t="str">
            <v>¿Que tipo de deshidratación ?</v>
          </cell>
        </row>
        <row r="1064">
          <cell r="A1064" t="str">
            <v>m3102</v>
          </cell>
          <cell r="B1064" t="str">
            <v>Centrifugeuse</v>
          </cell>
          <cell r="C1064" t="str">
            <v>Centrifuge</v>
          </cell>
          <cell r="D1064" t="str">
            <v>Centrifugadora</v>
          </cell>
        </row>
        <row r="1065">
          <cell r="A1065" t="str">
            <v>m3103</v>
          </cell>
          <cell r="B1065" t="str">
            <v>Filtre-presse</v>
          </cell>
          <cell r="C1065" t="str">
            <v>Filter press</v>
          </cell>
          <cell r="D1065" t="str">
            <v>Filtro prensa</v>
          </cell>
        </row>
        <row r="1066">
          <cell r="A1066" t="str">
            <v>m3104</v>
          </cell>
          <cell r="B1066" t="str">
            <v>Filtre-à-bande</v>
          </cell>
          <cell r="C1066" t="str">
            <v>Belt filter</v>
          </cell>
          <cell r="D1066" t="str">
            <v>Filtro con cinta</v>
          </cell>
        </row>
        <row r="1067">
          <cell r="A1067" t="str">
            <v>m3105</v>
          </cell>
          <cell r="B1067" t="str">
            <v>Largeur de filtre à bande</v>
          </cell>
          <cell r="C1067" t="str">
            <v>Belt filter width</v>
          </cell>
          <cell r="D1067" t="str">
            <v>Anchura del filtro con cinta</v>
          </cell>
        </row>
        <row r="1068">
          <cell r="A1068" t="str">
            <v>m3106</v>
          </cell>
          <cell r="B1068" t="str">
            <v>m   (pour définition du débit d'eau de lavage)</v>
          </cell>
          <cell r="C1068" t="str">
            <v>m  ( for washing flow rate calculation)</v>
          </cell>
          <cell r="D1068" t="str">
            <v>m  (para el calculo del cuadal de agua de limpia)</v>
          </cell>
        </row>
        <row r="1069">
          <cell r="A1069" t="str">
            <v>m3107</v>
          </cell>
          <cell r="B1069" t="str">
            <v>Conditionnement :</v>
          </cell>
          <cell r="C1069" t="str">
            <v>Conditioning</v>
          </cell>
          <cell r="D1069" t="str">
            <v>Acondicionamiento :</v>
          </cell>
        </row>
        <row r="1070">
          <cell r="A1070" t="str">
            <v>m3108</v>
          </cell>
          <cell r="B1070" t="str">
            <v>Poste de polymère</v>
          </cell>
          <cell r="C1070" t="str">
            <v>Polymer unit  </v>
          </cell>
          <cell r="D1070" t="str">
            <v>Unidad de polímero  </v>
          </cell>
        </row>
        <row r="1071">
          <cell r="A1071" t="str">
            <v>m3109</v>
          </cell>
          <cell r="B1071" t="str">
            <v>Poste de chaux</v>
          </cell>
          <cell r="C1071" t="str">
            <v>Lime unit</v>
          </cell>
          <cell r="D1071" t="str">
            <v>Unidad de cal</v>
          </cell>
        </row>
        <row r="1072">
          <cell r="A1072" t="str">
            <v>m3110</v>
          </cell>
          <cell r="B1072" t="str">
            <v>Taux de chaux</v>
          </cell>
          <cell r="C1072" t="str">
            <v>Lime rate</v>
          </cell>
          <cell r="D1072" t="str">
            <v>% de cal</v>
          </cell>
        </row>
        <row r="1073">
          <cell r="A1073" t="str">
            <v>m3111</v>
          </cell>
          <cell r="B1073" t="str">
            <v>Poste de chlorure ferrique</v>
          </cell>
          <cell r="C1073" t="str">
            <v>Ferric chloride unit</v>
          </cell>
          <cell r="D1073" t="str">
            <v>Unidad de cloruro férrico</v>
          </cell>
        </row>
        <row r="1074">
          <cell r="A1074" t="str">
            <v>m3112</v>
          </cell>
          <cell r="B1074" t="str">
            <v>Taux de chlorure ferrique</v>
          </cell>
          <cell r="C1074" t="str">
            <v>Ferric chloride rate</v>
          </cell>
          <cell r="D1074" t="str">
            <v>% de cloruro férrico</v>
          </cell>
        </row>
        <row r="1075">
          <cell r="A1075" t="str">
            <v>m3113</v>
          </cell>
          <cell r="B1075" t="str">
            <v>Temps de fonctionnement de la déshydratation</v>
          </cell>
          <cell r="C1075" t="str">
            <v>Dewatering running time</v>
          </cell>
          <cell r="D1075" t="str">
            <v>Tiempo de funcionamiento del deshidratación</v>
          </cell>
        </row>
        <row r="1076">
          <cell r="A1076" t="str">
            <v>m3114</v>
          </cell>
          <cell r="B1076" t="str">
            <v>Nombre de jours par semaine</v>
          </cell>
          <cell r="C1076" t="str">
            <v>Running days during a week</v>
          </cell>
          <cell r="D1076" t="str">
            <v>Numero de dias por semana</v>
          </cell>
        </row>
        <row r="1077">
          <cell r="A1077" t="str">
            <v>m3115</v>
          </cell>
          <cell r="B1077" t="str">
            <v>Nombre d'heures par jour</v>
          </cell>
          <cell r="C1077" t="str">
            <v>Running hours during a day</v>
          </cell>
          <cell r="D1077" t="str">
            <v>Numero de horas por dia</v>
          </cell>
        </row>
        <row r="1078">
          <cell r="A1078" t="str">
            <v>m3116</v>
          </cell>
          <cell r="B1078" t="str">
            <v>Conditionnement pour le Filtre Presse :</v>
          </cell>
          <cell r="C1078" t="str">
            <v>Conditioning for Filter press</v>
          </cell>
          <cell r="D1078" t="str">
            <v>Acondicionamiento para los filtros prensa</v>
          </cell>
        </row>
        <row r="1079">
          <cell r="A1079" t="str">
            <v>m3117</v>
          </cell>
          <cell r="B1079" t="str">
            <v>soit FeCl3 + chaux</v>
          </cell>
          <cell r="C1079" t="str">
            <v>so FeCL3 + lime</v>
          </cell>
          <cell r="D1079" t="str">
            <v>entonces FeCL3 + cal</v>
          </cell>
        </row>
        <row r="1080">
          <cell r="A1080" t="str">
            <v>m3118</v>
          </cell>
          <cell r="B1080" t="str">
            <v>soit FeCl3 + polymère</v>
          </cell>
          <cell r="C1080" t="str">
            <v>so FeCL3 + polymer</v>
          </cell>
          <cell r="D1080" t="str">
            <v>entonces FeCL3 + polímero</v>
          </cell>
        </row>
        <row r="1081">
          <cell r="A1081" t="str">
            <v>m3119</v>
          </cell>
          <cell r="B1081" t="str">
            <v>conditionnement ?</v>
          </cell>
          <cell r="C1081" t="str">
            <v>conditioning ?</v>
          </cell>
          <cell r="D1081" t="str">
            <v>acondicionamiento ?</v>
          </cell>
        </row>
        <row r="1082">
          <cell r="A1082" t="str">
            <v>m3120</v>
          </cell>
          <cell r="B1082" t="str">
            <v>Déphosphatation physico chimique des retours de déshydratation ?</v>
          </cell>
          <cell r="C1082" t="str">
            <v>Physical-chemical P removal of the dewatering returns ?</v>
          </cell>
          <cell r="D1082" t="str">
            <v>Defosfatación física química de los retornos de deshidratación ?</v>
          </cell>
        </row>
        <row r="1083">
          <cell r="A1083" t="str">
            <v>m3121</v>
          </cell>
          <cell r="B1083" t="str">
            <v>choix du réactif :</v>
          </cell>
          <cell r="C1083" t="str">
            <v>choice of the reagent :</v>
          </cell>
          <cell r="D1083" t="str">
            <v>elijo del reactivo :</v>
          </cell>
        </row>
        <row r="1084">
          <cell r="A1084" t="str">
            <v>m3122</v>
          </cell>
          <cell r="B1084" t="str">
            <v>Consommation de solution pure :</v>
          </cell>
          <cell r="C1084" t="str">
            <v>Consumption of pure solution :</v>
          </cell>
          <cell r="D1084" t="str">
            <v>Consumo de producto comercial :</v>
          </cell>
        </row>
        <row r="1085">
          <cell r="A1085" t="str">
            <v>m3123</v>
          </cell>
          <cell r="B1085" t="str">
            <v>Production de boues physico-chimique :</v>
          </cell>
          <cell r="C1085" t="str">
            <v>Physical-chemical sludge production:</v>
          </cell>
          <cell r="D1085" t="str">
            <v>Produccion de fangos físico químico:</v>
          </cell>
        </row>
        <row r="1086">
          <cell r="A1086" t="str">
            <v>m3124</v>
          </cell>
          <cell r="B1086" t="str">
            <v>Pris en compte dans le flux MES</v>
          </cell>
          <cell r="C1086" t="str">
            <v>Taken into account in the TSS load at </v>
          </cell>
          <cell r="D1086" t="str">
            <v>Toma en cuenta en el flujo SST</v>
          </cell>
        </row>
        <row r="1087">
          <cell r="A1087" t="str">
            <v>m3125</v>
          </cell>
          <cell r="B1087" t="str">
            <v>entrée déshydratation</v>
          </cell>
          <cell r="C1087" t="str">
            <v>dewatering inlet</v>
          </cell>
          <cell r="D1087" t="str">
            <v>en la entrada de deshidratación</v>
          </cell>
        </row>
        <row r="1088">
          <cell r="A1088" t="str">
            <v>m3150</v>
          </cell>
          <cell r="B1088" t="str">
            <v>Traitement final</v>
          </cell>
          <cell r="C1088" t="str">
            <v>Final treatment</v>
          </cell>
          <cell r="D1088" t="str">
            <v>Tratamiento final</v>
          </cell>
        </row>
        <row r="1089">
          <cell r="A1089" t="str">
            <v>m3151</v>
          </cell>
          <cell r="B1089" t="str">
            <v>Choix du traitement final</v>
          </cell>
          <cell r="C1089" t="str">
            <v>Final treatment choice</v>
          </cell>
          <cell r="D1089" t="str">
            <v>Elección del tratamiento final</v>
          </cell>
        </row>
        <row r="1090">
          <cell r="A1090" t="str">
            <v>m3152</v>
          </cell>
          <cell r="B1090" t="str">
            <v>Séchage thermique</v>
          </cell>
          <cell r="C1090" t="str">
            <v>Thermal drying</v>
          </cell>
          <cell r="D1090" t="str">
            <v>Secado termico</v>
          </cell>
        </row>
        <row r="1091">
          <cell r="A1091" t="str">
            <v>m3153</v>
          </cell>
          <cell r="B1091" t="str">
            <v>Autre ou Aucun</v>
          </cell>
          <cell r="C1091" t="str">
            <v>none o Other</v>
          </cell>
          <cell r="D1091" t="str">
            <v>Ninguno o Otro</v>
          </cell>
        </row>
        <row r="1092">
          <cell r="A1092" t="str">
            <v>m3154</v>
          </cell>
          <cell r="B1092" t="str">
            <v>Caractéristique de la boue</v>
          </cell>
          <cell r="C1092" t="str">
            <v>Sludge caracteristic</v>
          </cell>
          <cell r="D1092" t="str">
            <v>Caracteristica del fango</v>
          </cell>
        </row>
        <row r="1093">
          <cell r="A1093" t="str">
            <v>m3155</v>
          </cell>
          <cell r="B1093" t="str">
            <v>Siccité sortie déshydratation</v>
          </cell>
          <cell r="C1093" t="str">
            <v>Dry solid content at dewatering outlet</v>
          </cell>
          <cell r="D1093" t="str">
            <v>Sicidad salida deshidratación</v>
          </cell>
        </row>
        <row r="1094">
          <cell r="A1094" t="str">
            <v>m3156</v>
          </cell>
          <cell r="B1094" t="str">
            <v>Siccité sortie séchage</v>
          </cell>
          <cell r="C1094" t="str">
            <v>Dry solid content at drying outlet</v>
          </cell>
          <cell r="D1094" t="str">
            <v>Sicidad salida secado</v>
          </cell>
        </row>
        <row r="1095">
          <cell r="A1095" t="str">
            <v>m3157</v>
          </cell>
          <cell r="B1095" t="str">
            <v>Temps de fonctionnement du sécheur</v>
          </cell>
          <cell r="C1095" t="str">
            <v>Drying running time</v>
          </cell>
          <cell r="D1095" t="str">
            <v>Tiempo de funcionamiento del secador</v>
          </cell>
        </row>
        <row r="1096">
          <cell r="A1096" t="str">
            <v>m3158</v>
          </cell>
          <cell r="B1096" t="str">
            <v>Récupération d'énergie</v>
          </cell>
        </row>
        <row r="1097">
          <cell r="A1097" t="str">
            <v>m3159</v>
          </cell>
          <cell r="B1097" t="str">
            <v>Récupère-t-on l'énergie thermique à la sortie de la tour de lavage ?</v>
          </cell>
        </row>
        <row r="1098">
          <cell r="A1098" t="str">
            <v>m3200</v>
          </cell>
          <cell r="B1098" t="str">
            <v>TAUX DE CAPTURE</v>
          </cell>
          <cell r="C1098" t="str">
            <v>CAPTURE RATE</v>
          </cell>
          <cell r="D1098" t="str">
            <v>% RETENCION DE FANGOS</v>
          </cell>
        </row>
        <row r="1099">
          <cell r="A1099" t="str">
            <v>m3201</v>
          </cell>
          <cell r="B1099" t="str">
            <v>Epaississement des boues primaires</v>
          </cell>
          <cell r="C1099" t="str">
            <v>Primary sludge thickening</v>
          </cell>
          <cell r="D1099" t="str">
            <v>Espesamiento de los fangos primarios</v>
          </cell>
        </row>
        <row r="1100">
          <cell r="A1100" t="str">
            <v>m3202</v>
          </cell>
          <cell r="B1100" t="str">
            <v>Epaississement des boues biologiques</v>
          </cell>
          <cell r="C1100" t="str">
            <v>Biological sludge thickening</v>
          </cell>
          <cell r="D1100" t="str">
            <v>Espesamiento de los fangos biológicos</v>
          </cell>
        </row>
        <row r="1101">
          <cell r="A1101" t="str">
            <v>m3203</v>
          </cell>
          <cell r="B1101" t="str">
            <v>Déshydratation</v>
          </cell>
          <cell r="C1101" t="str">
            <v>Dewatering</v>
          </cell>
          <cell r="D1101" t="str">
            <v>Deshidratación</v>
          </cell>
        </row>
        <row r="1102">
          <cell r="A1102" t="str">
            <v>m3204</v>
          </cell>
          <cell r="B1102" t="str">
            <v>Choix</v>
          </cell>
          <cell r="C1102" t="str">
            <v>Choice</v>
          </cell>
          <cell r="D1102" t="str">
            <v>Elección</v>
          </cell>
        </row>
        <row r="1103">
          <cell r="A1103" t="str">
            <v>m3205</v>
          </cell>
          <cell r="B1103" t="str">
            <v>Taux de capture théorique (%)</v>
          </cell>
          <cell r="C1103" t="str">
            <v>Theorical capture rate (%)</v>
          </cell>
          <cell r="D1103" t="str">
            <v>Retención de fangos teorico (%)</v>
          </cell>
        </row>
        <row r="1104">
          <cell r="A1104" t="str">
            <v>m3206</v>
          </cell>
        </row>
        <row r="1105">
          <cell r="A1105" t="str">
            <v>m3207</v>
          </cell>
          <cell r="B1105" t="str">
            <v>Taux de capture choisi (%)</v>
          </cell>
          <cell r="C1105" t="str">
            <v>Chosen capture rate (%)</v>
          </cell>
          <cell r="D1105" t="str">
            <v>Retención de fangos elejida (%)</v>
          </cell>
        </row>
        <row r="1106">
          <cell r="A1106" t="str">
            <v>m3208</v>
          </cell>
          <cell r="B1106" t="str">
            <v>Concentration de sortie (gMS/L) ou siccité (%) théoriques</v>
          </cell>
          <cell r="C1106" t="str">
            <v>Outlet concentration (gSS/L) or dry solid content(%) theorical</v>
          </cell>
          <cell r="D1106" t="str">
            <v>Concentración de salida (gSS/L) o sicidad (%) teoricas</v>
          </cell>
        </row>
        <row r="1107">
          <cell r="A1107" t="str">
            <v>m3209</v>
          </cell>
          <cell r="B1107" t="str">
            <v>Concentration de sortie (gMS/L) ou siccité (%) choisies</v>
          </cell>
          <cell r="C1107" t="str">
            <v>Outlet concentration (gSS/L) or dry solid content(%) chosen</v>
          </cell>
          <cell r="D1107" t="str">
            <v>Concentración de salida (gSS/L) o sicidad (%) elejidas</v>
          </cell>
        </row>
        <row r="1108">
          <cell r="A1108" t="str">
            <v>m3210</v>
          </cell>
        </row>
        <row r="1109">
          <cell r="A1109" t="str">
            <v>m3211</v>
          </cell>
        </row>
        <row r="1110">
          <cell r="A1110" t="str">
            <v>m3212</v>
          </cell>
        </row>
        <row r="1111">
          <cell r="A1111" t="str">
            <v>m3213</v>
          </cell>
        </row>
        <row r="1112">
          <cell r="A1112" t="str">
            <v>m3214</v>
          </cell>
        </row>
        <row r="1113">
          <cell r="A1113" t="str">
            <v>m3300</v>
          </cell>
          <cell r="B1113" t="str">
            <v>PRODUCTION DE BOUE</v>
          </cell>
          <cell r="C1113" t="str">
            <v>SLUDGE PRODUCTION</v>
          </cell>
          <cell r="D1113" t="str">
            <v>PRODUCCION DE FANGOS</v>
          </cell>
        </row>
        <row r="1114">
          <cell r="A1114" t="str">
            <v>m3301</v>
          </cell>
          <cell r="B1114" t="str">
            <v>Charge massique</v>
          </cell>
          <cell r="C1114" t="str">
            <v>F/M ratio</v>
          </cell>
          <cell r="D1114" t="str">
            <v>Carga de solidos</v>
          </cell>
        </row>
        <row r="1115">
          <cell r="A1115" t="str">
            <v>m3302</v>
          </cell>
          <cell r="B1115" t="str">
            <v>BOUES PRIMAIRES</v>
          </cell>
          <cell r="C1115" t="str">
            <v>PRIMARY SLUDGE  </v>
          </cell>
          <cell r="D1115" t="str">
            <v>FANGOS PRIMARIOS</v>
          </cell>
        </row>
        <row r="1116">
          <cell r="A1116" t="str">
            <v>m3303</v>
          </cell>
          <cell r="B1116" t="str">
            <v>Production de boue</v>
          </cell>
          <cell r="C1116" t="str">
            <v>Sludge production</v>
          </cell>
          <cell r="D1116" t="str">
            <v>Producción de fangos</v>
          </cell>
        </row>
        <row r="1117">
          <cell r="A1117" t="str">
            <v>m3304</v>
          </cell>
          <cell r="B1117" t="str">
            <v>Taux de MVS</v>
          </cell>
          <cell r="C1117" t="str">
            <v>% of VSS </v>
          </cell>
          <cell r="D1117" t="str">
            <v>% de SSV</v>
          </cell>
        </row>
        <row r="1118">
          <cell r="A1118" t="str">
            <v>m3305</v>
          </cell>
          <cell r="B1118" t="str">
            <v>Concentration en MS de soutirage</v>
          </cell>
          <cell r="C1118" t="str">
            <v>Extraction SS concentration</v>
          </cell>
          <cell r="D1118" t="str">
            <v>Concentración de SS al extracción</v>
          </cell>
        </row>
        <row r="1119">
          <cell r="A1119" t="str">
            <v>m3306</v>
          </cell>
          <cell r="B1119" t="str">
            <v>BOUES BIOLOGIQUES OU BIOLOGIQUES + PHYSICO-CHIMIQUES</v>
          </cell>
          <cell r="C1119" t="str">
            <v>BIOLOGICAL SLUDGE OR BIOLOGICAL + PHYSICAL-CHEMICAL</v>
          </cell>
          <cell r="D1119" t="str">
            <v>FANGOS BIOLOGICOS O BILOGICOS + FISICO-QUIMICO</v>
          </cell>
        </row>
        <row r="1120">
          <cell r="A1120" t="str">
            <v>m3307</v>
          </cell>
          <cell r="B1120" t="str">
            <v>Flux de NTK assimilé</v>
          </cell>
          <cell r="C1120" t="str">
            <v>Assimilated N load</v>
          </cell>
          <cell r="D1120" t="str">
            <v>Flujo de NTK asimilado</v>
          </cell>
        </row>
        <row r="1121">
          <cell r="A1121" t="str">
            <v>m3308</v>
          </cell>
          <cell r="B1121" t="str">
            <v>Proportion de production de boue</v>
          </cell>
          <cell r="C1121" t="str">
            <v>Proportion of sludge production</v>
          </cell>
          <cell r="D1121" t="str">
            <v>Proporción de producción de fangos</v>
          </cell>
        </row>
        <row r="1122">
          <cell r="A1122" t="str">
            <v>m3309</v>
          </cell>
          <cell r="B1122" t="str">
            <v>Boue primaire</v>
          </cell>
          <cell r="C1122" t="str">
            <v>Primary sludge</v>
          </cell>
          <cell r="D1122" t="str">
            <v>Fango primario</v>
          </cell>
        </row>
        <row r="1123">
          <cell r="A1123" t="str">
            <v>m3310</v>
          </cell>
          <cell r="B1123" t="str">
            <v>Boue biologique</v>
          </cell>
          <cell r="C1123" t="str">
            <v>Biological sludge</v>
          </cell>
          <cell r="D1123" t="str">
            <v>Fango biológico</v>
          </cell>
        </row>
        <row r="1124">
          <cell r="A1124" t="str">
            <v>m3311</v>
          </cell>
          <cell r="B1124" t="str">
            <v>Ratio BP / BB</v>
          </cell>
          <cell r="C1124" t="str">
            <v>Ratio PS / BS</v>
          </cell>
          <cell r="D1124" t="str">
            <v>Relación FP/FB</v>
          </cell>
        </row>
        <row r="1125">
          <cell r="A1125" t="str">
            <v>m3312</v>
          </cell>
        </row>
        <row r="1126">
          <cell r="A1126" t="str">
            <v>m3313</v>
          </cell>
        </row>
        <row r="1127">
          <cell r="A1127" t="str">
            <v>m3400</v>
          </cell>
          <cell r="B1127" t="str">
            <v>RETOURS DE BOUES</v>
          </cell>
          <cell r="C1127" t="str">
            <v>SLUDGE RETURNS</v>
          </cell>
          <cell r="D1127" t="str">
            <v>RETORNOS DE FANGOS</v>
          </cell>
        </row>
        <row r="1128">
          <cell r="A1128" t="str">
            <v>m3401</v>
          </cell>
          <cell r="B1128" t="str">
            <v>Valable pour la colonne </v>
          </cell>
          <cell r="C1128" t="str">
            <v>Corresponding to the column</v>
          </cell>
          <cell r="D1128" t="str">
            <v>Válido para la columna</v>
          </cell>
        </row>
        <row r="1129">
          <cell r="A1129" t="str">
            <v>m3402</v>
          </cell>
          <cell r="B1129" t="str">
            <v>du dimensionnement de la Ligne Eau</v>
          </cell>
          <cell r="C1129" t="str">
            <v>of the "Ligne Eau" design</v>
          </cell>
          <cell r="D1129" t="str">
            <v>del diseño de la Ligne Eau</v>
          </cell>
        </row>
        <row r="1130">
          <cell r="A1130" t="str">
            <v>m3403</v>
          </cell>
          <cell r="B1130" t="str">
            <v>Pour intégrer les retours dans le dimensionnement</v>
          </cell>
          <cell r="C1130" t="str">
            <v>To integrate the returns in the "Ligne Eau"</v>
          </cell>
          <cell r="D1130" t="str">
            <v>Para integrar los retornos en el diseño de la </v>
          </cell>
        </row>
        <row r="1131">
          <cell r="A1131" t="str">
            <v>m3404</v>
          </cell>
          <cell r="B1131" t="str">
            <v>de la Ligne Eau, vous pouvez :</v>
          </cell>
          <cell r="C1131" t="str">
            <v>design, you can :</v>
          </cell>
          <cell r="D1131" t="str">
            <v>Ligne Eau, se puede :</v>
          </cell>
        </row>
        <row r="1132">
          <cell r="A1132" t="str">
            <v>m3405</v>
          </cell>
          <cell r="B1132" t="str">
            <v> - faire un copier coller des valeurs uniquement </v>
          </cell>
          <cell r="C1132" t="str">
            <v> - do a copy and paste only of the values</v>
          </cell>
          <cell r="D1132" t="str">
            <v> - hacer un copiar colar solo de los chifros</v>
          </cell>
        </row>
        <row r="1133">
          <cell r="A1133" t="str">
            <v>m3406</v>
          </cell>
          <cell r="B1133" t="str">
            <v>dans les cellules prévues dans Ligne Eau</v>
          </cell>
          <cell r="C1133" t="str">
            <v>in the corresponding cells in "Ligne Eau"</v>
          </cell>
          <cell r="D1133" t="str">
            <v>en las células previstas en Ligne Eau</v>
          </cell>
        </row>
        <row r="1134">
          <cell r="A1134" t="str">
            <v>m3407</v>
          </cell>
          <cell r="B1134" t="str">
            <v> - ou cliquer sur le bouton ci-dessous qui fera la</v>
          </cell>
          <cell r="C1134" t="str">
            <v> - or click on the button hereby which will do</v>
          </cell>
          <cell r="D1134" t="str">
            <v> - o utilizar el botón que hace el operación </v>
          </cell>
        </row>
        <row r="1135">
          <cell r="A1135" t="str">
            <v>m3408</v>
          </cell>
          <cell r="B1135" t="str">
            <v>manipulation automatiquement</v>
          </cell>
          <cell r="C1135" t="str">
            <v>the manipulation automaticly</v>
          </cell>
          <cell r="D1135" t="str">
            <v>automaticamente</v>
          </cell>
        </row>
        <row r="1136">
          <cell r="A1136" t="str">
            <v>m3409</v>
          </cell>
          <cell r="B1136" t="str">
            <v>Il sera peut être nécessaire d'effectuer l'opération</v>
          </cell>
          <cell r="C1136" t="str">
            <v>May be it will be necessary to realize  the operation</v>
          </cell>
          <cell r="D1136" t="str">
            <v>Seria necessario de realizar el operación </v>
          </cell>
        </row>
        <row r="1137">
          <cell r="A1137" t="str">
            <v>m3410</v>
          </cell>
          <cell r="B1137" t="str">
            <v> 2 ou 3 fois pour arriver à stabilisation.</v>
          </cell>
          <cell r="C1137" t="str">
            <v>2 or 3 times to arrive to a stabilized point</v>
          </cell>
          <cell r="D1137" t="str">
            <v>2 o 3 veces para llegar a una estabilización.</v>
          </cell>
        </row>
        <row r="1138">
          <cell r="A1138" t="str">
            <v>m4000</v>
          </cell>
          <cell r="B1138" t="str">
            <v>Choix de l'épaississement</v>
          </cell>
        </row>
        <row r="1139">
          <cell r="A1139" t="str">
            <v>m4001</v>
          </cell>
          <cell r="B1139" t="str">
            <v>Décantation primaire</v>
          </cell>
        </row>
        <row r="1140">
          <cell r="A1140" t="str">
            <v>m4002</v>
          </cell>
          <cell r="B1140" t="str">
            <v>Pas de décantation primaire</v>
          </cell>
        </row>
        <row r="1141">
          <cell r="A1141" t="str">
            <v>m4003</v>
          </cell>
          <cell r="B1141" t="str">
            <v>Epaississement des boues primaires et biologiques séparé</v>
          </cell>
        </row>
        <row r="1142">
          <cell r="A1142" t="str">
            <v>m4004</v>
          </cell>
          <cell r="B1142" t="str">
            <v>Epaississement des boues biologiques seules</v>
          </cell>
        </row>
        <row r="1143">
          <cell r="A1143" t="str">
            <v>m4005</v>
          </cell>
          <cell r="B1143" t="str">
            <v>Boues primaires :</v>
          </cell>
        </row>
        <row r="1144">
          <cell r="A1144" t="str">
            <v>m4006</v>
          </cell>
          <cell r="B1144" t="str">
            <v>Boues biologiques :</v>
          </cell>
        </row>
        <row r="1145">
          <cell r="A1145" t="str">
            <v>m4007</v>
          </cell>
          <cell r="B1145" t="str">
            <v>Capture</v>
          </cell>
        </row>
        <row r="1146">
          <cell r="A1146" t="str">
            <v>m4008</v>
          </cell>
          <cell r="B1146" t="str">
            <v>Conc sortie</v>
          </cell>
        </row>
        <row r="1147">
          <cell r="A1147" t="str">
            <v>m4009</v>
          </cell>
          <cell r="B1147" t="str">
            <v>Production boue primaire</v>
          </cell>
        </row>
        <row r="1148">
          <cell r="A1148" t="str">
            <v>m4010</v>
          </cell>
          <cell r="B1148" t="str">
            <v>Taux MV / MES</v>
          </cell>
        </row>
        <row r="1149">
          <cell r="A1149" t="str">
            <v>m4011</v>
          </cell>
          <cell r="B1149" t="str">
            <v>Flux de MVS</v>
          </cell>
        </row>
        <row r="1150">
          <cell r="A1150" t="str">
            <v>m4012</v>
          </cell>
          <cell r="B1150" t="str">
            <v>Conc extraction </v>
          </cell>
        </row>
        <row r="1151">
          <cell r="A1151" t="str">
            <v>m4013</v>
          </cell>
          <cell r="B1151" t="str">
            <v>Qualité de l'eau décantée primaire</v>
          </cell>
        </row>
        <row r="1152">
          <cell r="A1152" t="str">
            <v>m4014</v>
          </cell>
          <cell r="B1152" t="str">
            <v>Composition boue</v>
          </cell>
        </row>
        <row r="1153">
          <cell r="A1153" t="str">
            <v>m4015</v>
          </cell>
          <cell r="B1153" t="str">
            <v>Bilan massique :</v>
          </cell>
        </row>
        <row r="1154">
          <cell r="A1154" t="str">
            <v>m4016</v>
          </cell>
          <cell r="B1154" t="str">
            <v>particulaire :</v>
          </cell>
        </row>
        <row r="1155">
          <cell r="A1155" t="str">
            <v>m4017</v>
          </cell>
          <cell r="B1155" t="str">
            <v>soluble :</v>
          </cell>
        </row>
        <row r="1156">
          <cell r="A1156" t="str">
            <v>m4018</v>
          </cell>
          <cell r="B1156" t="str">
            <v>Calcul épaississement :</v>
          </cell>
        </row>
        <row r="1157">
          <cell r="A1157" t="str">
            <v>m4019</v>
          </cell>
          <cell r="B1157" t="str">
            <v>Entrée épaississeur</v>
          </cell>
        </row>
        <row r="1158">
          <cell r="A1158" t="str">
            <v>m4020</v>
          </cell>
          <cell r="B1158" t="str">
            <v>Sortie épaississeur</v>
          </cell>
        </row>
        <row r="1159">
          <cell r="A1159" t="str">
            <v>m4021</v>
          </cell>
          <cell r="B1159" t="str">
            <v>Retours épaississeur</v>
          </cell>
        </row>
        <row r="1160">
          <cell r="A1160" t="str">
            <v>m4022</v>
          </cell>
          <cell r="B1160" t="str">
            <v>Conc (mg/l)</v>
          </cell>
        </row>
        <row r="1161">
          <cell r="A1161" t="str">
            <v>m4023</v>
          </cell>
          <cell r="B1161" t="str">
            <v>Flux (kg/j)</v>
          </cell>
        </row>
        <row r="1162">
          <cell r="A1162" t="str">
            <v>m4024</v>
          </cell>
          <cell r="B1162" t="str">
            <v>Soluble relargué (mg/l)</v>
          </cell>
        </row>
        <row r="1163">
          <cell r="A1163" t="str">
            <v>m4025</v>
          </cell>
          <cell r="B1163" t="str">
            <v>Flux total (kg/j)</v>
          </cell>
        </row>
        <row r="1164">
          <cell r="A1164" t="str">
            <v>m4026</v>
          </cell>
        </row>
        <row r="1165">
          <cell r="A1165" t="str">
            <v>m4027</v>
          </cell>
        </row>
        <row r="1166">
          <cell r="A1166" t="str">
            <v>m4028</v>
          </cell>
        </row>
        <row r="1167">
          <cell r="A1167" t="str">
            <v>m4029</v>
          </cell>
        </row>
        <row r="1168">
          <cell r="A1168" t="str">
            <v>m4030</v>
          </cell>
        </row>
        <row r="1169">
          <cell r="A1169" t="str">
            <v>m4031</v>
          </cell>
        </row>
        <row r="1170">
          <cell r="A1170" t="str">
            <v>m4032</v>
          </cell>
        </row>
        <row r="1171">
          <cell r="A1171" t="str">
            <v>m4033</v>
          </cell>
        </row>
        <row r="1172">
          <cell r="A1172" t="str">
            <v>m4034</v>
          </cell>
        </row>
        <row r="1173">
          <cell r="A1173" t="str">
            <v>m4035</v>
          </cell>
        </row>
        <row r="1174">
          <cell r="A1174" t="str">
            <v>m4036</v>
          </cell>
        </row>
        <row r="1176">
          <cell r="A1176" t="str">
            <v>m5000</v>
          </cell>
          <cell r="B1176" t="str">
            <v>m3/j</v>
          </cell>
          <cell r="C1176" t="str">
            <v>m3/d</v>
          </cell>
          <cell r="D1176" t="str">
            <v>m3/d</v>
          </cell>
        </row>
        <row r="1177">
          <cell r="A1177" t="str">
            <v>m5001</v>
          </cell>
          <cell r="B1177" t="str">
            <v>L/j</v>
          </cell>
          <cell r="C1177" t="str">
            <v>L/d</v>
          </cell>
          <cell r="D1177" t="str">
            <v>L/d</v>
          </cell>
        </row>
        <row r="1178">
          <cell r="A1178" t="str">
            <v>m5002</v>
          </cell>
          <cell r="B1178" t="str">
            <v>h/j</v>
          </cell>
          <cell r="C1178" t="str">
            <v>h/d</v>
          </cell>
          <cell r="D1178" t="str">
            <v>h/d</v>
          </cell>
        </row>
        <row r="1179">
          <cell r="A1179" t="str">
            <v>m5003</v>
          </cell>
          <cell r="B1179" t="str">
            <v>kg/j</v>
          </cell>
          <cell r="C1179" t="str">
            <v>kg/d</v>
          </cell>
          <cell r="D1179" t="str">
            <v>kg/d</v>
          </cell>
        </row>
        <row r="1180">
          <cell r="A1180" t="str">
            <v>m5004</v>
          </cell>
          <cell r="B1180" t="str">
            <v>L/eh/j</v>
          </cell>
          <cell r="C1180" t="str">
            <v>L/pe/d</v>
          </cell>
          <cell r="D1180" t="str">
            <v>L/he/d</v>
          </cell>
        </row>
        <row r="1181">
          <cell r="A1181" t="str">
            <v>m5005</v>
          </cell>
          <cell r="B1181" t="str">
            <v>g/eh/j</v>
          </cell>
          <cell r="C1181" t="str">
            <v>g/pe/d</v>
          </cell>
          <cell r="D1181" t="str">
            <v>g/he/d</v>
          </cell>
        </row>
        <row r="1182">
          <cell r="A1182" t="str">
            <v>m5006</v>
          </cell>
          <cell r="B1182" t="str">
            <v>mg CaCO3</v>
          </cell>
          <cell r="C1182" t="str">
            <v>mg CaCO3</v>
          </cell>
          <cell r="D1182" t="str">
            <v>mg CaCO3</v>
          </cell>
        </row>
        <row r="1183">
          <cell r="A1183" t="str">
            <v>m5007</v>
          </cell>
          <cell r="B1183" t="str">
            <v>g/L/j</v>
          </cell>
          <cell r="C1183" t="str">
            <v>g/L/d</v>
          </cell>
          <cell r="D1183" t="str">
            <v>g/L/d</v>
          </cell>
        </row>
        <row r="1184">
          <cell r="A1184" t="str">
            <v>m5008</v>
          </cell>
          <cell r="B1184" t="str">
            <v>j-1</v>
          </cell>
          <cell r="C1184" t="str">
            <v>d-1</v>
          </cell>
          <cell r="D1184" t="str">
            <v>d-1</v>
          </cell>
        </row>
        <row r="1185">
          <cell r="A1185" t="str">
            <v>m5009</v>
          </cell>
        </row>
        <row r="1186">
          <cell r="A1186" t="str">
            <v>m5010</v>
          </cell>
        </row>
        <row r="1187">
          <cell r="A1187" t="str">
            <v>m5011</v>
          </cell>
          <cell r="B1187" t="str">
            <v>EH</v>
          </cell>
          <cell r="C1187" t="str">
            <v>PE</v>
          </cell>
          <cell r="D1187" t="str">
            <v>HE</v>
          </cell>
        </row>
        <row r="1188">
          <cell r="A1188" t="str">
            <v>m5012</v>
          </cell>
          <cell r="B1188" t="str">
            <v>oui</v>
          </cell>
          <cell r="C1188" t="str">
            <v>yes</v>
          </cell>
          <cell r="D1188" t="str">
            <v>sí</v>
          </cell>
        </row>
        <row r="1189">
          <cell r="A1189" t="str">
            <v>m5013</v>
          </cell>
          <cell r="B1189" t="str">
            <v>non</v>
          </cell>
          <cell r="C1189" t="str">
            <v>no</v>
          </cell>
          <cell r="D1189" t="str">
            <v>no</v>
          </cell>
        </row>
        <row r="1190">
          <cell r="A1190" t="str">
            <v>m5014</v>
          </cell>
        </row>
        <row r="1191">
          <cell r="A1191" t="str">
            <v>m5015</v>
          </cell>
        </row>
        <row r="1192">
          <cell r="A1192" t="str">
            <v>m5016</v>
          </cell>
          <cell r="B1192" t="str">
            <v>kg/kgMS</v>
          </cell>
          <cell r="C1192" t="str">
            <v>kg/kgTS</v>
          </cell>
          <cell r="D1192" t="str">
            <v>kg/kgST</v>
          </cell>
        </row>
        <row r="1193">
          <cell r="A1193" t="str">
            <v>m5017</v>
          </cell>
          <cell r="B1193" t="str">
            <v>kg/kgMV</v>
          </cell>
          <cell r="C1193" t="str">
            <v>kg/kgVS</v>
          </cell>
          <cell r="D1193" t="str">
            <v>kg/kgSV</v>
          </cell>
        </row>
        <row r="1194">
          <cell r="A1194" t="str">
            <v>m5018</v>
          </cell>
          <cell r="B1194" t="str">
            <v>Th/j</v>
          </cell>
          <cell r="C1194" t="str">
            <v>Th/d</v>
          </cell>
          <cell r="D1194" t="str">
            <v>Th/d</v>
          </cell>
        </row>
        <row r="1195">
          <cell r="A1195" t="str">
            <v>m5019</v>
          </cell>
          <cell r="B1195" t="str">
            <v>Nm3/kgMV élim.</v>
          </cell>
          <cell r="C1195" t="str">
            <v>Nm3/kgVS elim.</v>
          </cell>
          <cell r="D1195" t="str">
            <v>Nm3/kgSV elim.</v>
          </cell>
        </row>
        <row r="1196">
          <cell r="A1196" t="str">
            <v>m5020</v>
          </cell>
          <cell r="B1196" t="str">
            <v>PCl =</v>
          </cell>
          <cell r="C1196" t="str">
            <v>PCl =</v>
          </cell>
          <cell r="D1196" t="str">
            <v>PCl =</v>
          </cell>
        </row>
        <row r="1197">
          <cell r="A1197" t="str">
            <v>m5021</v>
          </cell>
          <cell r="B1197" t="str">
            <v>kg/ton MS</v>
          </cell>
          <cell r="C1197" t="str">
            <v>kg/ton DS</v>
          </cell>
          <cell r="D1197" t="str">
            <v>kg/ton SS</v>
          </cell>
        </row>
        <row r="1198">
          <cell r="A1198" t="str">
            <v>m5022</v>
          </cell>
          <cell r="B1198" t="str">
            <v>jours / sem</v>
          </cell>
          <cell r="C1198" t="str">
            <v>days/week</v>
          </cell>
          <cell r="D1198" t="str">
            <v>días/sem</v>
          </cell>
        </row>
        <row r="1199">
          <cell r="A1199" t="str">
            <v>m5023</v>
          </cell>
          <cell r="B1199" t="str">
            <v>h/j</v>
          </cell>
          <cell r="C1199" t="str">
            <v>h/d</v>
          </cell>
          <cell r="D1199" t="str">
            <v>h/d</v>
          </cell>
        </row>
        <row r="1200">
          <cell r="A1200" t="str">
            <v>m5024</v>
          </cell>
          <cell r="B1200" t="str">
            <v>j </v>
          </cell>
          <cell r="C1200" t="str">
            <v>d </v>
          </cell>
          <cell r="D1200" t="str">
            <v>d </v>
          </cell>
        </row>
        <row r="1201">
          <cell r="A1201" t="str">
            <v>m5025</v>
          </cell>
          <cell r="B1201" t="str">
            <v>gDBO/g</v>
          </cell>
          <cell r="C1201" t="str">
            <v>gBOD/g</v>
          </cell>
          <cell r="D1201" t="str">
            <v>gDBO/g</v>
          </cell>
        </row>
        <row r="1202">
          <cell r="A1202" t="str">
            <v>m5026</v>
          </cell>
          <cell r="B1202" t="str">
            <v>kgDBO/kgMVS.j</v>
          </cell>
          <cell r="C1202" t="str">
            <v>kgBOD/kgVSS.d</v>
          </cell>
          <cell r="D1202" t="str">
            <v>kgDBO/kgSSV.d</v>
          </cell>
        </row>
        <row r="1203">
          <cell r="A1203" t="str">
            <v>m5027</v>
          </cell>
          <cell r="B1203" t="str">
            <v>kgN/j</v>
          </cell>
          <cell r="C1203" t="str">
            <v>kgN/d</v>
          </cell>
          <cell r="D1203" t="str">
            <v>kgN/d</v>
          </cell>
        </row>
        <row r="1204">
          <cell r="A1204" t="str">
            <v>m5028</v>
          </cell>
          <cell r="B1204" t="str">
            <v>kgMS/m²/h</v>
          </cell>
          <cell r="C1204" t="str">
            <v>kgTS/m²/h</v>
          </cell>
          <cell r="D1204" t="str">
            <v>kgSS/m²/h</v>
          </cell>
        </row>
        <row r="1205">
          <cell r="A1205" t="str">
            <v>m5029</v>
          </cell>
          <cell r="B1205" t="str">
            <v>DBOp/MVS</v>
          </cell>
          <cell r="C1205" t="str">
            <v>BODp/VSS</v>
          </cell>
          <cell r="D1205" t="str">
            <v>DBOp/SSV</v>
          </cell>
        </row>
        <row r="1206">
          <cell r="A1206" t="str">
            <v>m5030</v>
          </cell>
          <cell r="B1206" t="str">
            <v>DCOp/MVS</v>
          </cell>
          <cell r="C1206" t="str">
            <v>CODp/VSS</v>
          </cell>
          <cell r="D1206" t="str">
            <v>DQOp/SSV</v>
          </cell>
        </row>
        <row r="1207">
          <cell r="A1207" t="str">
            <v>m5031</v>
          </cell>
          <cell r="B1207" t="str">
            <v>NTKp/MVS</v>
          </cell>
          <cell r="C1207" t="str">
            <v>TKNp/VSS</v>
          </cell>
          <cell r="D1207" t="str">
            <v>NTKp/SSV</v>
          </cell>
        </row>
        <row r="1208">
          <cell r="A1208" t="str">
            <v>m5032</v>
          </cell>
          <cell r="B1208" t="str">
            <v>Pp/MES</v>
          </cell>
          <cell r="C1208" t="str">
            <v>Pp/TSS</v>
          </cell>
          <cell r="D1208" t="str">
            <v>Pp/SST</v>
          </cell>
        </row>
        <row r="1209">
          <cell r="A1209" t="str">
            <v>m5033</v>
          </cell>
          <cell r="B1209" t="str">
            <v>Flux MES (kg/j)</v>
          </cell>
          <cell r="C1209" t="str">
            <v>SST load (kg/d)</v>
          </cell>
          <cell r="D1209" t="str">
            <v>Flujo SST (kg/j)</v>
          </cell>
        </row>
        <row r="1210">
          <cell r="A1210" t="str">
            <v>m5034</v>
          </cell>
          <cell r="B1210" t="str">
            <v>Flux MVS (kg/j)</v>
          </cell>
          <cell r="C1210" t="str">
            <v>SSV load (kg/d)</v>
          </cell>
          <cell r="D1210" t="str">
            <v>Flujo SSV (kg/j)</v>
          </cell>
        </row>
        <row r="1211">
          <cell r="A1211" t="str">
            <v>m5035</v>
          </cell>
          <cell r="B1211" t="str">
            <v>Conc MES (g/l)</v>
          </cell>
          <cell r="C1211" t="str">
            <v>Conc TSS (g/l)</v>
          </cell>
          <cell r="D1211" t="str">
            <v>Conc SST (g/l)</v>
          </cell>
        </row>
        <row r="1212">
          <cell r="A1212" t="str">
            <v>m5036</v>
          </cell>
          <cell r="B1212" t="str">
            <v>Débit (m³/j)</v>
          </cell>
          <cell r="C1212" t="str">
            <v>Flow (m3/j)</v>
          </cell>
          <cell r="D1212" t="str">
            <v>Cuadal (m3/j)</v>
          </cell>
        </row>
        <row r="1213">
          <cell r="A1213" t="str">
            <v>m5037</v>
          </cell>
          <cell r="B1213" t="str">
            <v>DCO part</v>
          </cell>
          <cell r="C1213" t="str">
            <v>COD part</v>
          </cell>
          <cell r="D1213" t="str">
            <v>DQO part</v>
          </cell>
        </row>
        <row r="1214">
          <cell r="A1214" t="str">
            <v>m5038</v>
          </cell>
          <cell r="B1214" t="str">
            <v>DBO part</v>
          </cell>
          <cell r="C1214" t="str">
            <v>BOD part</v>
          </cell>
          <cell r="D1214" t="str">
            <v>DBO part</v>
          </cell>
        </row>
        <row r="1215">
          <cell r="A1215" t="str">
            <v>m5039</v>
          </cell>
          <cell r="B1215" t="str">
            <v>NTK part</v>
          </cell>
          <cell r="C1215" t="str">
            <v>TKN part</v>
          </cell>
          <cell r="D1215" t="str">
            <v>NTK part</v>
          </cell>
        </row>
        <row r="1216">
          <cell r="A1216" t="str">
            <v>m5040</v>
          </cell>
          <cell r="B1216" t="str">
            <v>P part</v>
          </cell>
          <cell r="C1216" t="str">
            <v>P part</v>
          </cell>
          <cell r="D1216" t="str">
            <v>P part</v>
          </cell>
        </row>
        <row r="1217">
          <cell r="A1217" t="str">
            <v>m5041</v>
          </cell>
          <cell r="B1217" t="str">
            <v>DCO sol</v>
          </cell>
          <cell r="C1217" t="str">
            <v>COD sol</v>
          </cell>
          <cell r="D1217" t="str">
            <v>DQO sol</v>
          </cell>
        </row>
        <row r="1218">
          <cell r="A1218" t="str">
            <v>m5042</v>
          </cell>
          <cell r="B1218" t="str">
            <v>DBO sol</v>
          </cell>
          <cell r="C1218" t="str">
            <v>BOD sol</v>
          </cell>
          <cell r="D1218" t="str">
            <v>DBO sol</v>
          </cell>
        </row>
        <row r="1219">
          <cell r="A1219" t="str">
            <v>m5043</v>
          </cell>
          <cell r="B1219" t="str">
            <v>NTK sol</v>
          </cell>
          <cell r="C1219" t="str">
            <v>TKN sol</v>
          </cell>
          <cell r="D1219" t="str">
            <v>NTK sol</v>
          </cell>
        </row>
        <row r="1220">
          <cell r="A1220" t="str">
            <v>m5044</v>
          </cell>
          <cell r="B1220" t="str">
            <v>P sol</v>
          </cell>
          <cell r="C1220" t="str">
            <v>P sol</v>
          </cell>
          <cell r="D1220" t="str">
            <v>P sol</v>
          </cell>
        </row>
        <row r="1221">
          <cell r="A1221" t="str">
            <v>m5045</v>
          </cell>
        </row>
        <row r="1222">
          <cell r="A1222" t="str">
            <v>m5046</v>
          </cell>
        </row>
        <row r="1223">
          <cell r="A1223" t="str">
            <v>m5047</v>
          </cell>
        </row>
        <row r="1224">
          <cell r="A1224" t="str">
            <v>m5048</v>
          </cell>
        </row>
        <row r="1240">
          <cell r="A1240" t="str">
            <v>m6000</v>
          </cell>
          <cell r="B1240" t="str">
            <v>Attention, ce bilan masse ne correspond pas au cas choisi !!!</v>
          </cell>
          <cell r="C1240" t="str">
            <v>Take care, this mass balance doesn't fit to the chosen case !!!</v>
          </cell>
          <cell r="D1240" t="str">
            <v>Cuidado, éste balance de masa no coresponde al caso elejido !!!</v>
          </cell>
        </row>
        <row r="1241">
          <cell r="A1241" t="str">
            <v>m6001</v>
          </cell>
          <cell r="B1241" t="str">
            <v>Q =</v>
          </cell>
          <cell r="C1241" t="str">
            <v>Q =</v>
          </cell>
          <cell r="D1241" t="str">
            <v>Q =</v>
          </cell>
          <cell r="E1241" t="str">
            <v>Q = </v>
          </cell>
        </row>
        <row r="1242">
          <cell r="A1242" t="str">
            <v>m6001a</v>
          </cell>
          <cell r="B1242" t="str">
            <v>Qh =</v>
          </cell>
          <cell r="C1242" t="str">
            <v>Qh =</v>
          </cell>
          <cell r="D1242" t="str">
            <v>Qh =</v>
          </cell>
          <cell r="E1242" t="str">
            <v>Qh =</v>
          </cell>
        </row>
        <row r="1243">
          <cell r="A1243" t="str">
            <v>m6002</v>
          </cell>
          <cell r="B1243" t="str">
            <v>MES =</v>
          </cell>
          <cell r="C1243" t="str">
            <v>TSS =</v>
          </cell>
          <cell r="D1243" t="str">
            <v>SST =</v>
          </cell>
          <cell r="E1243" t="str">
            <v>SS =</v>
          </cell>
        </row>
        <row r="1244">
          <cell r="A1244" t="str">
            <v>m6002a</v>
          </cell>
          <cell r="B1244" t="str">
            <v>MLSS = </v>
          </cell>
          <cell r="C1244" t="str">
            <v>MLSS = </v>
          </cell>
          <cell r="D1244" t="str">
            <v>MLSS = </v>
          </cell>
          <cell r="E1244" t="str">
            <v>MLSS =</v>
          </cell>
        </row>
        <row r="1245">
          <cell r="A1245" t="str">
            <v>m6003</v>
          </cell>
          <cell r="B1245" t="str">
            <v>MVS =</v>
          </cell>
          <cell r="C1245" t="str">
            <v>VSS =</v>
          </cell>
          <cell r="D1245" t="str">
            <v>SSV =</v>
          </cell>
        </row>
        <row r="1246">
          <cell r="A1246" t="str">
            <v>m6004</v>
          </cell>
          <cell r="B1246" t="str">
            <v>%MV =</v>
          </cell>
          <cell r="C1246" t="str">
            <v>%VS =</v>
          </cell>
          <cell r="D1246" t="str">
            <v>%SV =</v>
          </cell>
        </row>
        <row r="1247">
          <cell r="A1247" t="str">
            <v>m6005</v>
          </cell>
          <cell r="B1247" t="str">
            <v>DBO =</v>
          </cell>
          <cell r="C1247" t="str">
            <v>BOD =</v>
          </cell>
          <cell r="D1247" t="str">
            <v>DBO =</v>
          </cell>
          <cell r="E1247" t="str">
            <v>DBO =</v>
          </cell>
        </row>
        <row r="1248">
          <cell r="A1248" t="str">
            <v>m6006</v>
          </cell>
          <cell r="B1248" t="str">
            <v>DCO =</v>
          </cell>
          <cell r="C1248" t="str">
            <v>COD =</v>
          </cell>
          <cell r="D1248" t="str">
            <v>DQO =</v>
          </cell>
          <cell r="E1248" t="str">
            <v>COD =</v>
          </cell>
        </row>
        <row r="1249">
          <cell r="A1249" t="str">
            <v>m6007</v>
          </cell>
          <cell r="B1249" t="str">
            <v>NTK =</v>
          </cell>
          <cell r="C1249" t="str">
            <v>TKN =</v>
          </cell>
          <cell r="D1249" t="str">
            <v>NTK =</v>
          </cell>
          <cell r="E1249" t="str">
            <v>NTK =</v>
          </cell>
        </row>
        <row r="1250">
          <cell r="A1250" t="str">
            <v>m6008</v>
          </cell>
          <cell r="B1250" t="str">
            <v>P = </v>
          </cell>
          <cell r="C1250" t="str">
            <v>P = </v>
          </cell>
          <cell r="D1250" t="str">
            <v>P = </v>
          </cell>
          <cell r="E1250" t="str">
            <v>F =</v>
          </cell>
        </row>
        <row r="1251">
          <cell r="A1251" t="str">
            <v>m6008b</v>
          </cell>
          <cell r="B1251" t="str">
            <v>P sol =</v>
          </cell>
          <cell r="C1251" t="str">
            <v>P sol =</v>
          </cell>
          <cell r="D1251" t="str">
            <v>P sol =</v>
          </cell>
        </row>
        <row r="1252">
          <cell r="A1252" t="str">
            <v>m6009</v>
          </cell>
          <cell r="B1252" t="str">
            <v>NTK sol =</v>
          </cell>
          <cell r="C1252" t="str">
            <v>TKN sol =</v>
          </cell>
          <cell r="D1252" t="str">
            <v>NTK sol =</v>
          </cell>
        </row>
        <row r="1253">
          <cell r="A1253" t="str">
            <v>m6010</v>
          </cell>
          <cell r="B1253" t="str">
            <v>N-NH4 =</v>
          </cell>
          <cell r="C1253" t="str">
            <v>N-NH4 =</v>
          </cell>
          <cell r="D1253" t="str">
            <v>N-NH4 =</v>
          </cell>
        </row>
        <row r="1254">
          <cell r="A1254" t="str">
            <v>m6011</v>
          </cell>
          <cell r="B1254" t="str">
            <v>N-NO3 =</v>
          </cell>
          <cell r="C1254" t="str">
            <v>N-NO3 =</v>
          </cell>
          <cell r="D1254" t="str">
            <v>N-NO3 =</v>
          </cell>
        </row>
        <row r="1255">
          <cell r="A1255" t="str">
            <v>m6011a</v>
          </cell>
          <cell r="B1255" t="str">
            <v>NGL = </v>
          </cell>
          <cell r="C1255" t="str">
            <v>NGL = </v>
          </cell>
          <cell r="D1255" t="str">
            <v>NGL = </v>
          </cell>
        </row>
        <row r="1256">
          <cell r="A1256" t="str">
            <v>m6012</v>
          </cell>
          <cell r="B1256" t="str">
            <v>DBO sol =</v>
          </cell>
          <cell r="C1256" t="str">
            <v>BOD sol =</v>
          </cell>
          <cell r="D1256" t="str">
            <v>DBO sol =</v>
          </cell>
        </row>
        <row r="1257">
          <cell r="A1257" t="str">
            <v>m6013</v>
          </cell>
          <cell r="B1257" t="str">
            <v>DCO sol =</v>
          </cell>
          <cell r="C1257" t="str">
            <v>COD sol =</v>
          </cell>
          <cell r="D1257" t="str">
            <v>DQO sol =</v>
          </cell>
        </row>
        <row r="1258">
          <cell r="A1258" t="str">
            <v>m6014</v>
          </cell>
          <cell r="B1258" t="str">
            <v>MV élim. =</v>
          </cell>
          <cell r="C1258" t="str">
            <v>VSS elim. =</v>
          </cell>
          <cell r="D1258" t="str">
            <v>SSV elim. =</v>
          </cell>
        </row>
        <row r="1259">
          <cell r="A1259" t="str">
            <v>m6015</v>
          </cell>
          <cell r="B1259" t="str">
            <v>EAU BRUTE</v>
          </cell>
          <cell r="C1259" t="str">
            <v>RAW WATER</v>
          </cell>
          <cell r="D1259" t="str">
            <v>AGUA BRUTA</v>
          </cell>
        </row>
        <row r="1260">
          <cell r="A1260" t="str">
            <v>m6016</v>
          </cell>
          <cell r="B1260" t="str">
            <v>Prétraitement</v>
          </cell>
          <cell r="C1260" t="str">
            <v>Preliminary treatment</v>
          </cell>
          <cell r="D1260" t="str">
            <v>Pretratamiento</v>
          </cell>
        </row>
        <row r="1261">
          <cell r="A1261" t="str">
            <v>m6017</v>
          </cell>
          <cell r="B1261" t="str">
            <v>EAU PRETRAITEE</v>
          </cell>
          <cell r="C1261" t="str">
            <v>PRETREATED INFLUENT</v>
          </cell>
          <cell r="D1261" t="str">
            <v>AGUA PRETRATADA </v>
          </cell>
        </row>
        <row r="1262">
          <cell r="A1262" t="str">
            <v>m6018</v>
          </cell>
          <cell r="B1262" t="str">
            <v>Décantation Primaire</v>
          </cell>
          <cell r="C1262" t="str">
            <v>Primary Settling Tank</v>
          </cell>
          <cell r="D1262" t="str">
            <v>Primer Decantación</v>
          </cell>
        </row>
        <row r="1263">
          <cell r="A1263" t="str">
            <v>m6019</v>
          </cell>
          <cell r="B1263" t="str">
            <v>EAU DECANTEE</v>
          </cell>
          <cell r="C1263" t="str">
            <v>SETTLED WATER</v>
          </cell>
          <cell r="D1263" t="str">
            <v>AGUA DECANTADA</v>
          </cell>
        </row>
        <row r="1264">
          <cell r="A1264" t="str">
            <v>m6020</v>
          </cell>
          <cell r="B1264" t="str">
            <v>EAU ENTREE BIOL.</v>
          </cell>
          <cell r="C1264" t="str">
            <v>INLET OF BIOL.</v>
          </cell>
          <cell r="D1264" t="str">
            <v>ENTRADA DEL BIOL.</v>
          </cell>
        </row>
        <row r="1265">
          <cell r="A1265" t="str">
            <v>m6021</v>
          </cell>
          <cell r="B1265" t="str">
            <v>Réacteur biologique</v>
          </cell>
          <cell r="C1265" t="str">
            <v>Aeration Tank</v>
          </cell>
          <cell r="D1265" t="str">
            <v>Estanqué de Airación</v>
          </cell>
        </row>
        <row r="1266">
          <cell r="A1266" t="str">
            <v>m6021a</v>
          </cell>
          <cell r="B1266" t="str">
            <v>Respiration CO2, N2</v>
          </cell>
          <cell r="C1266" t="str">
            <v>Breath CO2, N2</v>
          </cell>
          <cell r="D1266" t="str">
            <v>Respiración CO2, N2</v>
          </cell>
        </row>
        <row r="1267">
          <cell r="A1267" t="str">
            <v>m6022</v>
          </cell>
          <cell r="B1267" t="str">
            <v>RECIRCULATION DE BOUE ACTIVEE</v>
          </cell>
          <cell r="C1267" t="str">
            <v>RECIRCULATION OF ACTIVATED SLUDGE</v>
          </cell>
          <cell r="D1267" t="str">
            <v>RECIRCULACION DE LODO ACTIVADO</v>
          </cell>
        </row>
        <row r="1268">
          <cell r="A1268" t="str">
            <v>m6023</v>
          </cell>
          <cell r="B1268" t="str">
            <v>Clarificateur</v>
          </cell>
          <cell r="C1268" t="str">
            <v>Secondary Clarifiers</v>
          </cell>
          <cell r="D1268" t="str">
            <v>Clarificador</v>
          </cell>
        </row>
        <row r="1269">
          <cell r="A1269" t="str">
            <v>m6024</v>
          </cell>
          <cell r="B1269" t="str">
            <v>Désinfection</v>
          </cell>
          <cell r="C1269" t="str">
            <v>Disinfection</v>
          </cell>
          <cell r="D1269" t="str">
            <v>Desinfección</v>
          </cell>
        </row>
        <row r="1270">
          <cell r="A1270" t="str">
            <v>m6025</v>
          </cell>
          <cell r="B1270" t="str">
            <v>EAU TRAITEE</v>
          </cell>
          <cell r="C1270" t="str">
            <v>TREATED WATER</v>
          </cell>
          <cell r="D1270" t="str">
            <v>AGUA TRATADA</v>
          </cell>
        </row>
        <row r="1271">
          <cell r="A1271" t="str">
            <v>m6026</v>
          </cell>
          <cell r="B1271" t="str">
            <v>Epaississement boues biologiques</v>
          </cell>
          <cell r="C1271" t="str">
            <v>Biological sludge Thickeners</v>
          </cell>
          <cell r="D1271" t="str">
            <v>Espesamiento de los lodos biológicos</v>
          </cell>
        </row>
        <row r="1272">
          <cell r="A1272" t="str">
            <v>m6027</v>
          </cell>
          <cell r="B1272" t="str">
            <v>Epaississement boues primaires</v>
          </cell>
          <cell r="C1272" t="str">
            <v>Primary sludge Thickeners </v>
          </cell>
          <cell r="D1272" t="str">
            <v>Espesamiento de los lodos primarios</v>
          </cell>
        </row>
        <row r="1273">
          <cell r="A1273" t="str">
            <v>m6028</v>
          </cell>
          <cell r="B1273" t="str">
            <v>Epaississeur gravitaire</v>
          </cell>
          <cell r="C1273" t="str">
            <v>Gravity Thickener</v>
          </cell>
          <cell r="D1273" t="str">
            <v>Espesador gravitario</v>
          </cell>
        </row>
        <row r="1274">
          <cell r="A1274" t="str">
            <v>m6029</v>
          </cell>
          <cell r="B1274" t="str">
            <v>Filtre-à-bande</v>
          </cell>
          <cell r="C1274" t="str">
            <v>Belt filter</v>
          </cell>
          <cell r="D1274" t="str">
            <v>Filtro con cinta</v>
          </cell>
        </row>
        <row r="1275">
          <cell r="A1275" t="str">
            <v>m6030</v>
          </cell>
          <cell r="B1275" t="str">
            <v>Filtre-presse</v>
          </cell>
          <cell r="C1275" t="str">
            <v>Filter press</v>
          </cell>
          <cell r="D1275" t="str">
            <v>Filtro prensa</v>
          </cell>
        </row>
        <row r="1276">
          <cell r="A1276" t="str">
            <v>m6031</v>
          </cell>
          <cell r="B1276" t="str">
            <v>Flottateur</v>
          </cell>
          <cell r="C1276" t="str">
            <v>D. A. F.</v>
          </cell>
          <cell r="D1276" t="str">
            <v>Flotación</v>
          </cell>
        </row>
        <row r="1277">
          <cell r="A1277" t="str">
            <v>m6032</v>
          </cell>
          <cell r="B1277" t="str">
            <v>BOUE EPAISSIE</v>
          </cell>
          <cell r="C1277" t="str">
            <v>THICKENED WAS</v>
          </cell>
          <cell r="D1277" t="str">
            <v>LODOS ESPECADOS</v>
          </cell>
        </row>
        <row r="1278">
          <cell r="A1278" t="str">
            <v>m6033</v>
          </cell>
          <cell r="B1278" t="str">
            <v>BOUE EPAISSIE BRUTE</v>
          </cell>
          <cell r="C1278" t="str">
            <v>THICKENED RAW SLUDGE</v>
          </cell>
          <cell r="D1278" t="str">
            <v>LODOS CRUDOS ESPESADOS</v>
          </cell>
        </row>
        <row r="1279">
          <cell r="A1279" t="str">
            <v>m6034</v>
          </cell>
          <cell r="B1279" t="str">
            <v>BOUE EVACUEE</v>
          </cell>
          <cell r="C1279" t="str">
            <v>SLUDGE TO DISPOSAL</v>
          </cell>
          <cell r="D1279" t="str">
            <v>LODOS EVACUADOS</v>
          </cell>
        </row>
        <row r="1280">
          <cell r="A1280" t="str">
            <v>m6035</v>
          </cell>
          <cell r="B1280" t="str">
            <v>BOUE PRIMAIRE</v>
          </cell>
          <cell r="C1280" t="str">
            <v>PRIMARY SLUDGE</v>
          </cell>
          <cell r="D1280" t="str">
            <v>LODOS PRIMARIOS</v>
          </cell>
        </row>
        <row r="1281">
          <cell r="A1281" t="str">
            <v>m6036</v>
          </cell>
          <cell r="B1281" t="str">
            <v>BOUE PRIMAIRE EPAISSIE</v>
          </cell>
          <cell r="C1281" t="str">
            <v>PRIMARY THICKENED SLUDGE</v>
          </cell>
          <cell r="D1281" t="str">
            <v>LODOS PRIMARIOS ESPESADOS</v>
          </cell>
        </row>
        <row r="1282">
          <cell r="A1282" t="str">
            <v>m6037</v>
          </cell>
          <cell r="B1282" t="str">
            <v>BOUE EN EXCES</v>
          </cell>
          <cell r="C1282" t="str">
            <v>WASTE ACTIVATED SLUDGE</v>
          </cell>
          <cell r="D1282" t="str">
            <v>LODOS ACTIVADOS USADOS</v>
          </cell>
        </row>
        <row r="1283">
          <cell r="A1283" t="str">
            <v>m6038</v>
          </cell>
          <cell r="B1283" t="str">
            <v>Bâche de mélange des boues  </v>
          </cell>
          <cell r="C1283" t="str">
            <v>Sludge storage tank</v>
          </cell>
          <cell r="D1283" t="str">
            <v>Estanqué de mezcla de los lodos</v>
          </cell>
        </row>
        <row r="1284">
          <cell r="A1284" t="str">
            <v>m6039</v>
          </cell>
          <cell r="B1284" t="str">
            <v>Bâche de mélange des boues mixtes</v>
          </cell>
          <cell r="C1284" t="str">
            <v>Sludge storage tank</v>
          </cell>
          <cell r="D1284" t="str">
            <v>Estanqué de mezcla de los lodos mixtos</v>
          </cell>
        </row>
        <row r="1285">
          <cell r="A1285" t="str">
            <v>m6040</v>
          </cell>
          <cell r="B1285" t="str">
            <v>Bâche de stockage</v>
          </cell>
          <cell r="C1285" t="str">
            <v>Sludge storage tank</v>
          </cell>
          <cell r="D1285" t="str">
            <v>Estanqué de almacenaje</v>
          </cell>
        </row>
        <row r="1286">
          <cell r="A1286" t="str">
            <v>m6041</v>
          </cell>
          <cell r="B1286" t="str">
            <v>Digestion anaérobie</v>
          </cell>
          <cell r="C1286" t="str">
            <v>Anaerobic Digestion</v>
          </cell>
          <cell r="D1286" t="str">
            <v>Digestión anaeróbia</v>
          </cell>
        </row>
        <row r="1287">
          <cell r="A1287" t="str">
            <v>m6042</v>
          </cell>
          <cell r="B1287" t="str">
            <v>BOUE DIGEREE</v>
          </cell>
          <cell r="C1287" t="str">
            <v>DIGESTED SLUDGE</v>
          </cell>
          <cell r="D1287" t="str">
            <v>LODOS DIGEROS</v>
          </cell>
        </row>
        <row r="1288">
          <cell r="A1288" t="str">
            <v>m6043</v>
          </cell>
          <cell r="B1288" t="str">
            <v>BIOGAZ</v>
          </cell>
          <cell r="C1288" t="str">
            <v>BIOGAS</v>
          </cell>
          <cell r="D1288" t="str">
            <v>BIOGAS</v>
          </cell>
        </row>
        <row r="1289">
          <cell r="A1289" t="str">
            <v>m6044</v>
          </cell>
          <cell r="B1289" t="str">
            <v>GDD/GDE</v>
          </cell>
          <cell r="C1289" t="str">
            <v>Bar screen</v>
          </cell>
          <cell r="D1289" t="str">
            <v>Pantalla de barra</v>
          </cell>
        </row>
        <row r="1290">
          <cell r="A1290" t="str">
            <v>m6045</v>
          </cell>
          <cell r="B1290" t="str">
            <v>Centrifugeuse</v>
          </cell>
          <cell r="C1290" t="str">
            <v>Centrifuge</v>
          </cell>
          <cell r="D1290" t="str">
            <v>Centrifugadora</v>
          </cell>
        </row>
        <row r="1291">
          <cell r="A1291" t="str">
            <v>m6046</v>
          </cell>
          <cell r="B1291" t="str">
            <v>Déshydratation des boues digérées</v>
          </cell>
          <cell r="C1291" t="str">
            <v>Sludge dewatering by centrifugation</v>
          </cell>
          <cell r="D1291" t="str">
            <v>Deshydratación de los lodos digeridos</v>
          </cell>
        </row>
        <row r="1292">
          <cell r="A1292" t="str">
            <v>m6047</v>
          </cell>
          <cell r="B1292" t="str">
            <v>jours / sem</v>
          </cell>
          <cell r="C1292" t="str">
            <v>days / week</v>
          </cell>
          <cell r="D1292" t="str">
            <v>dias / sem</v>
          </cell>
        </row>
        <row r="1293">
          <cell r="A1293" t="str">
            <v>m6048</v>
          </cell>
          <cell r="B1293" t="str">
            <v>BOUE DESHYDRATEE</v>
          </cell>
          <cell r="C1293" t="str">
            <v>DEWATERED SLUDGE</v>
          </cell>
          <cell r="D1293" t="str">
            <v>LODOS DESIDRATADOS</v>
          </cell>
        </row>
        <row r="1294">
          <cell r="A1294" t="str">
            <v>m6049</v>
          </cell>
          <cell r="B1294" t="str">
            <v>BOUE SECHEE</v>
          </cell>
          <cell r="C1294" t="str">
            <v>Dried sludge</v>
          </cell>
          <cell r="D1294" t="str">
            <v>Lodos secados</v>
          </cell>
        </row>
        <row r="1295">
          <cell r="A1295" t="str">
            <v>m6049a</v>
          </cell>
          <cell r="B1295" t="str">
            <v>Boue séchée</v>
          </cell>
          <cell r="C1295" t="str">
            <v>Dried sludge</v>
          </cell>
          <cell r="D1295" t="str">
            <v>Lodos secados</v>
          </cell>
        </row>
        <row r="1296">
          <cell r="A1296" t="str">
            <v>m6050</v>
          </cell>
          <cell r="B1296" t="str">
            <v>Chaulage</v>
          </cell>
          <cell r="C1296" t="str">
            <v>Lime treatment</v>
          </cell>
          <cell r="D1296" t="str">
            <v>Tratamiento de cal</v>
          </cell>
        </row>
        <row r="1297">
          <cell r="A1297" t="str">
            <v>m6051</v>
          </cell>
          <cell r="B1297" t="str">
            <v>Compostage</v>
          </cell>
          <cell r="C1297" t="str">
            <v>Composting</v>
          </cell>
          <cell r="D1297" t="str">
            <v>Compost</v>
          </cell>
        </row>
        <row r="1298">
          <cell r="A1298" t="str">
            <v>m6052</v>
          </cell>
          <cell r="B1298" t="str">
            <v>Séchage thermique</v>
          </cell>
          <cell r="C1298" t="str">
            <v>Thermal drying</v>
          </cell>
          <cell r="D1298" t="str">
            <v>Sequeda</v>
          </cell>
        </row>
        <row r="1299">
          <cell r="A1299" t="str">
            <v>m6053</v>
          </cell>
          <cell r="B1299" t="str">
            <v>Incinération</v>
          </cell>
          <cell r="C1299" t="str">
            <v>Incineration</v>
          </cell>
          <cell r="D1299" t="str">
            <v>Incineración</v>
          </cell>
        </row>
        <row r="1300">
          <cell r="A1300" t="str">
            <v>m6054</v>
          </cell>
          <cell r="B1300" t="str">
            <v>OVH</v>
          </cell>
          <cell r="C1300" t="str">
            <v>Wet oxidation</v>
          </cell>
          <cell r="D1300" t="str">
            <v>Oxidación mojada</v>
          </cell>
        </row>
        <row r="1301">
          <cell r="A1301" t="str">
            <v>m6055</v>
          </cell>
          <cell r="B1301" t="str">
            <v>Traitement final</v>
          </cell>
          <cell r="C1301" t="str">
            <v>Finally treatment</v>
          </cell>
          <cell r="D1301" t="str">
            <v>Ultima tratamiento</v>
          </cell>
        </row>
        <row r="1302">
          <cell r="A1302" t="str">
            <v>m6056</v>
          </cell>
          <cell r="B1302" t="str">
            <v>Th/j</v>
          </cell>
          <cell r="C1302" t="str">
            <v>Th/d</v>
          </cell>
          <cell r="D1302" t="str">
            <v>Th/d</v>
          </cell>
        </row>
        <row r="1303">
          <cell r="A1303" t="str">
            <v>m6057</v>
          </cell>
          <cell r="B1303" t="str">
            <v>Siccité =</v>
          </cell>
          <cell r="C1303" t="str">
            <v>Dry solids content</v>
          </cell>
          <cell r="D1303" t="str">
            <v>Sicidad =</v>
          </cell>
        </row>
        <row r="1304">
          <cell r="A1304" t="str">
            <v>m6058</v>
          </cell>
          <cell r="B1304" t="str">
            <v>Gâteau =</v>
          </cell>
          <cell r="C1304" t="str">
            <v>Cake =</v>
          </cell>
          <cell r="D1304" t="str">
            <v>Pastel =</v>
          </cell>
        </row>
        <row r="1305">
          <cell r="A1305" t="str">
            <v>m6059</v>
          </cell>
        </row>
        <row r="1306">
          <cell r="A1306" t="str">
            <v>m6060</v>
          </cell>
        </row>
        <row r="1307">
          <cell r="A1307" t="str">
            <v>m6061</v>
          </cell>
          <cell r="B1307" t="str">
            <v>Polymère :</v>
          </cell>
          <cell r="C1307" t="str">
            <v>Polymer preparation unit</v>
          </cell>
          <cell r="D1307" t="str">
            <v>Preparación de polímero</v>
          </cell>
        </row>
        <row r="1308">
          <cell r="A1308" t="str">
            <v>m6062</v>
          </cell>
          <cell r="B1308" t="str">
            <v>Q E.I. pour dilution</v>
          </cell>
          <cell r="C1308" t="str">
            <v>I.W. for dilutio,</v>
          </cell>
          <cell r="D1308" t="str">
            <v>A.I. para dilución</v>
          </cell>
        </row>
        <row r="1309">
          <cell r="A1309" t="str">
            <v>m6063</v>
          </cell>
          <cell r="B1309" t="str">
            <v>Q E.P. pour préparation</v>
          </cell>
          <cell r="C1309" t="str">
            <v>P.W. for preparation</v>
          </cell>
          <cell r="D1309" t="str">
            <v>A.P. para preparación</v>
          </cell>
        </row>
        <row r="1310">
          <cell r="A1310" t="str">
            <v>m6064</v>
          </cell>
          <cell r="B1310" t="str">
            <v>Eau Industrielle</v>
          </cell>
          <cell r="C1310" t="str">
            <v>Industrial Water</v>
          </cell>
          <cell r="D1310" t="str">
            <v>Agua Industrial</v>
          </cell>
        </row>
        <row r="1311">
          <cell r="A1311" t="str">
            <v>m6065</v>
          </cell>
          <cell r="B1311" t="str">
            <v>Eau potable</v>
          </cell>
          <cell r="C1311" t="str">
            <v>Potable Water</v>
          </cell>
          <cell r="D1311" t="str">
            <v>Agua Potable</v>
          </cell>
        </row>
        <row r="1312">
          <cell r="A1312" t="str">
            <v>m6066</v>
          </cell>
          <cell r="B1312" t="str">
            <v>RETOUR DE LIQUEURS</v>
          </cell>
          <cell r="C1312" t="str">
            <v>RETURN LIQUORS</v>
          </cell>
          <cell r="D1312" t="str">
            <v>RETORNOS</v>
          </cell>
        </row>
        <row r="1313">
          <cell r="A1313" t="str">
            <v>m6067</v>
          </cell>
          <cell r="B1313" t="str">
            <v>RETOURS de centrifugeuse</v>
          </cell>
          <cell r="C1313" t="str">
            <v>RETURNS from centrifuge</v>
          </cell>
          <cell r="D1313" t="str">
            <v>RETORNOS de centrifuga</v>
          </cell>
        </row>
        <row r="1314">
          <cell r="A1314" t="str">
            <v>m6068</v>
          </cell>
          <cell r="B1314" t="str">
            <v>RETOURS de déshydrat.</v>
          </cell>
          <cell r="C1314" t="str">
            <v>RETURN from dewatering</v>
          </cell>
          <cell r="D1314" t="str">
            <v>RETORNOS de deshydrat.</v>
          </cell>
        </row>
        <row r="1315">
          <cell r="A1315" t="str">
            <v>m6069</v>
          </cell>
          <cell r="B1315" t="str">
            <v>RETOURS de filtre presse</v>
          </cell>
          <cell r="C1315" t="str">
            <v>RETURNS from filter press</v>
          </cell>
          <cell r="D1315" t="str">
            <v>RETORNOS de filtro prensa</v>
          </cell>
        </row>
        <row r="1316">
          <cell r="A1316" t="str">
            <v>m6070</v>
          </cell>
          <cell r="B1316" t="str">
            <v>RETOURS de filtre-à-bande</v>
          </cell>
          <cell r="C1316" t="str">
            <v>RETURNS from belt filter</v>
          </cell>
          <cell r="D1316" t="str">
            <v>RETORNOS de filtro con cinta</v>
          </cell>
        </row>
        <row r="1317">
          <cell r="A1317" t="str">
            <v>m6071</v>
          </cell>
          <cell r="B1317" t="str">
            <v>RETOURS de flottateur</v>
          </cell>
          <cell r="C1317" t="str">
            <v>RETURNS from flotation</v>
          </cell>
          <cell r="D1317" t="str">
            <v>RETORNOS de flotación</v>
          </cell>
        </row>
        <row r="1318">
          <cell r="A1318" t="str">
            <v>m6072</v>
          </cell>
          <cell r="B1318" t="str">
            <v>RETOURS de GDD/GDE</v>
          </cell>
          <cell r="C1318" t="str">
            <v>RETURNS from bar screen</v>
          </cell>
          <cell r="D1318" t="str">
            <v>RETORNOS de pantalla de barra</v>
          </cell>
        </row>
        <row r="1319">
          <cell r="A1319" t="str">
            <v>m6073</v>
          </cell>
          <cell r="B1319" t="str">
            <v>RETOURS de OVH</v>
          </cell>
          <cell r="C1319" t="str">
            <v>RETURNS from wet oxidation</v>
          </cell>
          <cell r="D1319" t="str">
            <v>RETORNOS de oxidación mojada</v>
          </cell>
        </row>
        <row r="1320">
          <cell r="A1320" t="str">
            <v>m6074</v>
          </cell>
          <cell r="B1320" t="str">
            <v>RETOURS de séchage</v>
          </cell>
          <cell r="C1320" t="str">
            <v>RETURNS from dryer</v>
          </cell>
          <cell r="D1320" t="str">
            <v>RETORNOS de secador</v>
          </cell>
        </row>
        <row r="1321">
          <cell r="A1321" t="str">
            <v>m6075</v>
          </cell>
          <cell r="B1321" t="str">
            <v>RETOURS de trait. final</v>
          </cell>
          <cell r="C1321" t="str">
            <v>RETURNS from final treat.</v>
          </cell>
          <cell r="D1321" t="str">
            <v>RETORNOS de trat. final </v>
          </cell>
        </row>
        <row r="1322">
          <cell r="A1322" t="str">
            <v>m6076</v>
          </cell>
          <cell r="B1322" t="str">
            <v>RETOURS d'épaiss.</v>
          </cell>
          <cell r="C1322" t="str">
            <v>RETURNS from thickener</v>
          </cell>
          <cell r="D1322" t="str">
            <v>RETORNOS del especiam.</v>
          </cell>
        </row>
        <row r="1323">
          <cell r="A1323" t="str">
            <v>m6077</v>
          </cell>
          <cell r="B1323" t="str">
            <v>RETOURS d'incinération</v>
          </cell>
          <cell r="C1323" t="str">
            <v>RETURNS from incineration</v>
          </cell>
          <cell r="D1323" t="str">
            <v>RETORNOS de incineración</v>
          </cell>
        </row>
        <row r="1324">
          <cell r="A1324" t="str">
            <v>m6078</v>
          </cell>
          <cell r="B1324" t="str">
            <v>Pas de retours</v>
          </cell>
          <cell r="C1324" t="str">
            <v>No returns</v>
          </cell>
          <cell r="D1324" t="str">
            <v>No retornos</v>
          </cell>
        </row>
        <row r="1325">
          <cell r="A1325" t="str">
            <v>m6079</v>
          </cell>
        </row>
        <row r="1326">
          <cell r="A1326" t="str">
            <v>m6080</v>
          </cell>
        </row>
        <row r="1327">
          <cell r="A1327" t="str">
            <v>m6081</v>
          </cell>
        </row>
        <row r="1328">
          <cell r="A1328" t="str">
            <v>m6082</v>
          </cell>
        </row>
        <row r="1329">
          <cell r="A1329" t="str">
            <v>m6083</v>
          </cell>
        </row>
        <row r="1330">
          <cell r="A1330" t="str">
            <v>m7000</v>
          </cell>
          <cell r="B1330" t="str">
            <v>NOTE DE DIMENSIONNEMENT</v>
          </cell>
          <cell r="C1330" t="str">
            <v>PROCESS DESIGN CALCULATIONS</v>
          </cell>
          <cell r="D1330" t="str">
            <v>NOTA DE DISENO</v>
          </cell>
        </row>
        <row r="1331">
          <cell r="A1331" t="str">
            <v>m7001</v>
          </cell>
          <cell r="B1331" t="str">
            <v>Affaire :</v>
          </cell>
          <cell r="C1331" t="str">
            <v>Project :</v>
          </cell>
          <cell r="D1331" t="str">
            <v>Proyecto :</v>
          </cell>
        </row>
        <row r="1332">
          <cell r="A1332" t="str">
            <v>m7002</v>
          </cell>
          <cell r="B1332" t="str">
            <v>Solution :</v>
          </cell>
          <cell r="C1332" t="str">
            <v>Solution :</v>
          </cell>
          <cell r="D1332" t="str">
            <v>Solución :</v>
          </cell>
        </row>
        <row r="1333">
          <cell r="A1333" t="str">
            <v>m7003</v>
          </cell>
          <cell r="B1333" t="str">
            <v>CAHIER DES CHARGES</v>
          </cell>
          <cell r="C1333" t="str">
            <v>TENDER BID</v>
          </cell>
          <cell r="D1333" t="str">
            <v>PLIEGO DE BASES</v>
          </cell>
        </row>
        <row r="1334">
          <cell r="A1334" t="str">
            <v>m7003b</v>
          </cell>
          <cell r="B1334" t="str">
            <v>Caractéristiques eau brute retenue pour le dimensionnement</v>
          </cell>
          <cell r="C1334" t="str">
            <v>Raw water characteristics for design</v>
          </cell>
          <cell r="D1334" t="str">
            <v>Características del agua bruta retenidas para el diseño</v>
          </cell>
        </row>
        <row r="1335">
          <cell r="A1335" t="str">
            <v>m7004</v>
          </cell>
          <cell r="B1335" t="str">
            <v>Débit de pointe temps sec</v>
          </cell>
          <cell r="C1335" t="str">
            <v>Dry weather peak flow</v>
          </cell>
          <cell r="D1335" t="str">
            <v>Cuadal punta de tiempo seco</v>
          </cell>
        </row>
        <row r="1336">
          <cell r="A1336" t="str">
            <v>m7005</v>
          </cell>
          <cell r="B1336" t="str">
            <v>Pourcentage de MV</v>
          </cell>
          <cell r="C1336" t="str">
            <v>VS percentage</v>
          </cell>
          <cell r="D1336" t="str">
            <v>Porcentaje de SV</v>
          </cell>
        </row>
        <row r="1337">
          <cell r="A1337" t="str">
            <v>m7006</v>
          </cell>
          <cell r="B1337" t="str">
            <v>Objectifs de rejet</v>
          </cell>
          <cell r="C1337" t="str">
            <v>Allowed discharge</v>
          </cell>
          <cell r="D1337" t="str">
            <v>Condicines para el agua tratada</v>
          </cell>
        </row>
        <row r="1338">
          <cell r="A1338" t="str">
            <v>m7007</v>
          </cell>
          <cell r="B1338" t="str">
            <v>DIMENSIONNEMENT</v>
          </cell>
          <cell r="C1338" t="str">
            <v>DESIGN</v>
          </cell>
          <cell r="D1338" t="str">
            <v>DISENO</v>
          </cell>
        </row>
        <row r="1339">
          <cell r="A1339" t="str">
            <v>m7008</v>
          </cell>
          <cell r="B1339" t="str">
            <v>Type de décanteur primaire</v>
          </cell>
          <cell r="C1339" t="str">
            <v>Kind of primary settling tank</v>
          </cell>
          <cell r="D1339" t="str">
            <v>Tipo de primer decantador</v>
          </cell>
        </row>
        <row r="1340">
          <cell r="A1340" t="str">
            <v>m7009</v>
          </cell>
          <cell r="B1340" t="str">
            <v>Surface de décantation totale</v>
          </cell>
          <cell r="C1340" t="str">
            <v>Total decantation area</v>
          </cell>
          <cell r="D1340" t="str">
            <v>Area de decantación total</v>
          </cell>
        </row>
        <row r="1341">
          <cell r="A1341" t="str">
            <v>m7010</v>
          </cell>
          <cell r="B1341" t="str">
            <v>Diamètre unitaire</v>
          </cell>
          <cell r="C1341" t="str">
            <v>Unitary diameter</v>
          </cell>
          <cell r="D1341" t="str">
            <v>Díametro unitario</v>
          </cell>
        </row>
        <row r="1342">
          <cell r="A1342" t="str">
            <v>m7011</v>
          </cell>
          <cell r="B1342" t="str">
            <v>Vitesse ascensionnelle maxi</v>
          </cell>
          <cell r="C1342" t="str">
            <v>Maxi rising velocity</v>
          </cell>
          <cell r="D1342" t="str">
            <v>Velocidad ascencional maxi</v>
          </cell>
        </row>
        <row r="1343">
          <cell r="A1343" t="str">
            <v>m7012</v>
          </cell>
          <cell r="B1343" t="str">
            <v>Vitesse ascensionnelle moyenne</v>
          </cell>
          <cell r="C1343" t="str">
            <v>Average rising velocity</v>
          </cell>
          <cell r="D1343" t="str">
            <v>Velocidad ascencional media</v>
          </cell>
        </row>
        <row r="1344">
          <cell r="A1344" t="str">
            <v>m7012b</v>
          </cell>
          <cell r="B1344" t="str">
            <v>Rendements d'élimination sur l'eau brute sans retours</v>
          </cell>
          <cell r="C1344" t="str">
            <v>Elimination efficiency on raw water without returns</v>
          </cell>
          <cell r="D1344" t="str">
            <v>Rendimientos de eliminación on agua bruta sin retornos</v>
          </cell>
        </row>
        <row r="1345">
          <cell r="A1345" t="str">
            <v>m7012c</v>
          </cell>
          <cell r="B1345" t="str">
            <v>Production globale de boues primaires (cf bilan masse)</v>
          </cell>
          <cell r="C1345" t="str">
            <v>Primary sludge global production (see mass balance)</v>
          </cell>
          <cell r="D1345" t="str">
            <v>Producción global de fangos primarios (cf balance de masa)</v>
          </cell>
        </row>
        <row r="1346">
          <cell r="A1346" t="str">
            <v>m7012d</v>
          </cell>
          <cell r="B1346" t="str">
            <v>dont Flux de MVS</v>
          </cell>
          <cell r="C1346" t="str">
            <v>of which VSS load</v>
          </cell>
          <cell r="D1346" t="str">
            <v>con flujo de SSV</v>
          </cell>
        </row>
        <row r="1347">
          <cell r="A1347" t="str">
            <v>m7013</v>
          </cell>
          <cell r="B1347" t="str">
            <v>Charge massique</v>
          </cell>
          <cell r="C1347" t="str">
            <v>F/M ratio</v>
          </cell>
          <cell r="D1347" t="str">
            <v>Carga de solidos  </v>
          </cell>
        </row>
        <row r="1348">
          <cell r="A1348" t="str">
            <v>m7014</v>
          </cell>
          <cell r="B1348" t="str">
            <v>kgDBO/kgMVS/j</v>
          </cell>
          <cell r="C1348" t="str">
            <v>kg BOD/kgVSS/d </v>
          </cell>
          <cell r="D1348" t="str">
            <v>kg DBO/kgVS/d</v>
          </cell>
        </row>
        <row r="1349">
          <cell r="A1349" t="str">
            <v>m7015</v>
          </cell>
          <cell r="B1349" t="str">
            <v>Filière de dénitrification</v>
          </cell>
          <cell r="C1349" t="str">
            <v>Denitrification configuration</v>
          </cell>
          <cell r="D1349" t="str">
            <v>Tipo de denitrificación</v>
          </cell>
        </row>
        <row r="1350">
          <cell r="A1350" t="str">
            <v>m7016</v>
          </cell>
          <cell r="B1350" t="str">
            <v>Zone anoxique</v>
          </cell>
          <cell r="C1350" t="str">
            <v>Anoxic zone</v>
          </cell>
          <cell r="D1350" t="str">
            <v>Zona anóxica</v>
          </cell>
        </row>
        <row r="1351">
          <cell r="A1351" t="str">
            <v>m7016b</v>
          </cell>
          <cell r="B1351" t="str">
            <v>Cinétique de nitrification</v>
          </cell>
          <cell r="C1351" t="str">
            <v>Nitrification kinetic</v>
          </cell>
          <cell r="D1351" t="str">
            <v>Cinética de nitrificación</v>
          </cell>
        </row>
        <row r="1352">
          <cell r="A1352" t="str">
            <v>m7017</v>
          </cell>
          <cell r="B1352" t="str">
            <v>Cinétique de dénitrification </v>
          </cell>
          <cell r="C1352" t="str">
            <v>Denitrification kinetic </v>
          </cell>
          <cell r="D1352" t="str">
            <v>Cinética de denitrificacion</v>
          </cell>
        </row>
        <row r="1353">
          <cell r="A1353" t="str">
            <v>m7018</v>
          </cell>
          <cell r="B1353" t="str">
            <v>g N-NO3/kgMV/h</v>
          </cell>
          <cell r="C1353" t="str">
            <v>g NO3-N/kgVS/h</v>
          </cell>
          <cell r="D1353" t="str">
            <v>g N-NO3/kg MV/h</v>
          </cell>
        </row>
        <row r="1354">
          <cell r="A1354" t="str">
            <v>m7018b</v>
          </cell>
          <cell r="B1354" t="str">
            <v>g N-NH4/kgMV/h</v>
          </cell>
          <cell r="C1354" t="str">
            <v>g NH4-N/kgVS/h</v>
          </cell>
          <cell r="D1354" t="str">
            <v>g N-NH4/kg MV/h</v>
          </cell>
        </row>
        <row r="1355">
          <cell r="A1355" t="str">
            <v>m7019</v>
          </cell>
          <cell r="B1355" t="str">
            <v>Volume anoxie</v>
          </cell>
          <cell r="C1355" t="str">
            <v>Anoxic volume</v>
          </cell>
          <cell r="D1355" t="str">
            <v>Volumen anóxico</v>
          </cell>
        </row>
        <row r="1356">
          <cell r="A1356" t="str">
            <v>m7020</v>
          </cell>
          <cell r="B1356" t="str">
            <v>Taux de recirculation de Liqueur Mixte</v>
          </cell>
          <cell r="C1356" t="str">
            <v>Mixt Liquor recirculation rate</v>
          </cell>
          <cell r="D1356" t="str">
            <v>% de recirculación de Liquor Mixta</v>
          </cell>
        </row>
        <row r="1357">
          <cell r="A1357" t="str">
            <v>m7021</v>
          </cell>
          <cell r="B1357" t="str">
            <v>Volume endogène</v>
          </cell>
          <cell r="C1357" t="str">
            <v>Endogenous volume</v>
          </cell>
          <cell r="D1357" t="str">
            <v>Volumen endogeno</v>
          </cell>
        </row>
        <row r="1358">
          <cell r="A1358" t="str">
            <v>m7022</v>
          </cell>
          <cell r="B1358" t="str">
            <v>Volume endogène strict</v>
          </cell>
          <cell r="C1358" t="str">
            <v>Strict endogenous volume</v>
          </cell>
          <cell r="D1358" t="str">
            <v>Volumen endogeno stricto</v>
          </cell>
        </row>
        <row r="1359">
          <cell r="A1359" t="str">
            <v>m7023</v>
          </cell>
          <cell r="B1359" t="str">
            <v>Déphosphatation biologique</v>
          </cell>
          <cell r="C1359" t="str">
            <v>Biological dephosphatation</v>
          </cell>
          <cell r="D1359" t="str">
            <v>Defosfatación biológica</v>
          </cell>
        </row>
        <row r="1360">
          <cell r="A1360" t="str">
            <v>m7024</v>
          </cell>
          <cell r="B1360" t="str">
            <v>Zone de pré-anoxie</v>
          </cell>
          <cell r="C1360" t="str">
            <v>Pre anoxic zone</v>
          </cell>
          <cell r="D1360" t="str">
            <v>Zona de pre-anoxia</v>
          </cell>
        </row>
        <row r="1361">
          <cell r="A1361" t="str">
            <v>m7025</v>
          </cell>
          <cell r="B1361" t="str">
            <v>Alimentation en eau brute de la pré-anoxie</v>
          </cell>
          <cell r="C1361" t="str">
            <v>Pre-anoxic raw water alimentation</v>
          </cell>
          <cell r="D1361" t="str">
            <v>Alimentación de la pre-anóxica en agua bruta</v>
          </cell>
        </row>
        <row r="1362">
          <cell r="A1362" t="str">
            <v>m7026</v>
          </cell>
          <cell r="B1362" t="str">
            <v>Volume de pré-anoxie</v>
          </cell>
          <cell r="C1362" t="str">
            <v>Pre-anoxic volume</v>
          </cell>
          <cell r="D1362" t="str">
            <v>Volumen de pre-anóxica</v>
          </cell>
        </row>
        <row r="1363">
          <cell r="A1363" t="str">
            <v>m7027</v>
          </cell>
          <cell r="B1363" t="str">
            <v>Zone anaérobie</v>
          </cell>
          <cell r="C1363" t="str">
            <v>Anaerobic zone</v>
          </cell>
          <cell r="D1363" t="str">
            <v>Zona anaerobia</v>
          </cell>
        </row>
        <row r="1364">
          <cell r="A1364" t="str">
            <v>m7028</v>
          </cell>
          <cell r="B1364" t="str">
            <v>Temps de séjour global sur Qmoy avec recirc</v>
          </cell>
          <cell r="C1364" t="str">
            <v>Global retention time on Average F with recirc</v>
          </cell>
          <cell r="D1364" t="str">
            <v>Tiempo de retención global on Qmedio con recirc</v>
          </cell>
        </row>
        <row r="1365">
          <cell r="A1365" t="str">
            <v>m7029</v>
          </cell>
          <cell r="B1365" t="str">
            <v>Taux d'assimilation du phosphore</v>
          </cell>
          <cell r="C1365" t="str">
            <v>Phosphore assimilation rate</v>
          </cell>
          <cell r="D1365" t="str">
            <v>% de asimilación del fósforo</v>
          </cell>
        </row>
        <row r="1366">
          <cell r="A1366" t="str">
            <v>m7030</v>
          </cell>
          <cell r="B1366" t="str">
            <v>Déphosphatation physico chimique</v>
          </cell>
          <cell r="C1366" t="str">
            <v>Physical-chemical dephosphatation</v>
          </cell>
          <cell r="D1366" t="str">
            <v>Defosfatación física-química</v>
          </cell>
        </row>
        <row r="1367">
          <cell r="A1367" t="str">
            <v>m7031</v>
          </cell>
          <cell r="B1367" t="str">
            <v>Boue en exces à traiter (sans retours)</v>
          </cell>
          <cell r="C1367" t="str">
            <v>Excess sludge to be treated (without returns)</v>
          </cell>
          <cell r="D1367" t="str">
            <v>Fangos en exceso a tratar (sin retornos)</v>
          </cell>
        </row>
        <row r="1368">
          <cell r="A1368" t="str">
            <v>m7032</v>
          </cell>
          <cell r="B1368" t="str">
            <v>Boue en exces à traiter avec retours</v>
          </cell>
          <cell r="C1368" t="str">
            <v>Excess sludge to be treated with returns</v>
          </cell>
          <cell r="D1368" t="str">
            <v>Fangos en exceso a tratar con retornos</v>
          </cell>
        </row>
        <row r="1369">
          <cell r="A1369" t="str">
            <v>m7033</v>
          </cell>
          <cell r="B1369" t="str">
            <v>Taux de recirculation des boues</v>
          </cell>
          <cell r="C1369" t="str">
            <v>Sludge recirculation rate</v>
          </cell>
          <cell r="D1369" t="str">
            <v>% de recirculation de fangos</v>
          </cell>
        </row>
        <row r="1370">
          <cell r="A1370" t="str">
            <v>m7034</v>
          </cell>
          <cell r="B1370" t="str">
            <v>Vitesse ascensionnelle maxi au fût</v>
          </cell>
          <cell r="C1370" t="str">
            <v>Overflow maxi rising velocity</v>
          </cell>
          <cell r="D1370" t="str">
            <v>Velocidad ascencional maxi </v>
          </cell>
        </row>
        <row r="1371">
          <cell r="A1371" t="str">
            <v>m7035</v>
          </cell>
          <cell r="B1371" t="str">
            <v>Vitesse ascensionnelle moyenne au fût</v>
          </cell>
          <cell r="C1371" t="str">
            <v>Overflow average rising velocity</v>
          </cell>
          <cell r="D1371" t="str">
            <v>Velocidad ascencional media</v>
          </cell>
        </row>
        <row r="1372">
          <cell r="A1372" t="str">
            <v>m7036</v>
          </cell>
          <cell r="B1372" t="str">
            <v>Diamètre au fût</v>
          </cell>
          <cell r="C1372" t="str">
            <v>Clarifier diameter</v>
          </cell>
          <cell r="D1372" t="str">
            <v>Diametro de la obra</v>
          </cell>
        </row>
        <row r="1373">
          <cell r="A1373" t="str">
            <v>m7037</v>
          </cell>
          <cell r="B1373" t="str">
            <v>Hauteur d'eau moyenne</v>
          </cell>
          <cell r="C1373" t="str">
            <v>Average water depth</v>
          </cell>
          <cell r="D1373" t="str">
            <v>Altura de agua media</v>
          </cell>
        </row>
        <row r="1374">
          <cell r="A1374" t="str">
            <v>m7038</v>
          </cell>
          <cell r="B1374" t="str">
            <v>Temps de séjour moyen</v>
          </cell>
          <cell r="C1374" t="str">
            <v>Average retention time</v>
          </cell>
          <cell r="D1374" t="str">
            <v>Tiempo de retención medio</v>
          </cell>
        </row>
        <row r="1375">
          <cell r="A1375" t="str">
            <v>m7039</v>
          </cell>
          <cell r="B1375" t="str">
            <v>Temps de séjour maxi</v>
          </cell>
          <cell r="C1375" t="str">
            <v>Maxi retention time</v>
          </cell>
          <cell r="D1375" t="str">
            <v>Tiempo de retención maxi</v>
          </cell>
        </row>
        <row r="1376">
          <cell r="A1376" t="str">
            <v>m7040</v>
          </cell>
          <cell r="B1376" t="str">
            <v>à afficher</v>
          </cell>
          <cell r="C1376" t="str">
            <v>to show</v>
          </cell>
          <cell r="D1376" t="str">
            <v>a señalar</v>
          </cell>
        </row>
        <row r="1377">
          <cell r="A1377" t="str">
            <v>m7041</v>
          </cell>
          <cell r="B1377" t="str">
            <v>à masquer</v>
          </cell>
          <cell r="C1377" t="str">
            <v>to hide</v>
          </cell>
          <cell r="D1377" t="str">
            <v>a ocultar</v>
          </cell>
        </row>
        <row r="1378">
          <cell r="A1378" t="str">
            <v>m7042</v>
          </cell>
          <cell r="B1378" t="str">
            <v>Note de calcul synthétique diffusable au client ou dans le dossier de remise d'offre</v>
          </cell>
          <cell r="C1378" t="str">
            <v>Synthetic calculation note for the client or the tender bid document</v>
          </cell>
          <cell r="D1378" t="str">
            <v>Nota de calculo sintética para el cliente o el documento de ofra technica</v>
          </cell>
        </row>
        <row r="1379">
          <cell r="A1379" t="str">
            <v>m7043</v>
          </cell>
          <cell r="B1379" t="str">
            <v>servant de justificatif du dimensionnement.</v>
          </cell>
          <cell r="C1379" t="str">
            <v>helping for the justification of the design.</v>
          </cell>
          <cell r="D1379" t="str">
            <v>para justificarse del diseño.</v>
          </cell>
        </row>
        <row r="1380">
          <cell r="A1380" t="str">
            <v>m7044</v>
          </cell>
          <cell r="B1380" t="str">
            <v>Afficher ou masquer les paragraphes à l'aide des ascenseurs + et -</v>
          </cell>
          <cell r="C1380" t="str">
            <v>Show or hide the chapter thank's to the buton + or -</v>
          </cell>
          <cell r="D1380" t="str">
            <v>Abrir o ocultar los capitulos con los botones + y -</v>
          </cell>
        </row>
        <row r="1381">
          <cell r="A1381" t="str">
            <v>m7045</v>
          </cell>
          <cell r="B1381" t="str">
            <v>conformément à l'indication de la colonne A.</v>
          </cell>
          <cell r="C1381" t="str">
            <v>as it is indicated in the column A.</v>
          </cell>
          <cell r="D1381" t="str">
            <v>tal que esta escrito en la columna A.</v>
          </cell>
        </row>
        <row r="1382">
          <cell r="A1382" t="str">
            <v>m7046</v>
          </cell>
          <cell r="B1382" t="str">
            <v>Retours de boues (cf bilan masse)</v>
          </cell>
          <cell r="C1382" t="str">
            <v>Sludge returns (see mass balance)</v>
          </cell>
          <cell r="D1382" t="str">
            <v>Retornos de fangos (cf balance de masa)</v>
          </cell>
        </row>
        <row r="1383">
          <cell r="A1383" t="str">
            <v>m7047</v>
          </cell>
          <cell r="B1383" t="str">
            <v>en tête du décanteur primaire</v>
          </cell>
          <cell r="C1383" t="str">
            <v>at primary settlink tank inlet</v>
          </cell>
          <cell r="D1383" t="str">
            <v>en la entrada del primer decantación</v>
          </cell>
        </row>
        <row r="1384">
          <cell r="A1384" t="str">
            <v>m7048</v>
          </cell>
          <cell r="B1384" t="str">
            <v>en tête du biologique</v>
          </cell>
          <cell r="C1384" t="str">
            <v>at biologic inlet</v>
          </cell>
          <cell r="D1384" t="str">
            <v>en la entrada del biológico</v>
          </cell>
        </row>
        <row r="1385">
          <cell r="A1385" t="str">
            <v>m7049</v>
          </cell>
          <cell r="B1385" t="str">
            <v>Surface totale de décantation</v>
          </cell>
          <cell r="C1385" t="str">
            <v>Total decantation area</v>
          </cell>
          <cell r="D1385" t="str">
            <v>Superficie total de decantación</v>
          </cell>
        </row>
        <row r="1386">
          <cell r="A1386" t="str">
            <v>m7050</v>
          </cell>
          <cell r="B1386" t="str">
            <v>Hauteur d'eau moyenne</v>
          </cell>
          <cell r="C1386" t="str">
            <v>Average water high</v>
          </cell>
          <cell r="D1386" t="str">
            <v>Altura de agua media</v>
          </cell>
        </row>
        <row r="1387">
          <cell r="A1387" t="str">
            <v>m7051</v>
          </cell>
          <cell r="B1387" t="str">
            <v>Consommation de Chlorure ferrique commercial</v>
          </cell>
          <cell r="C1387" t="str">
            <v>Consumption of commercial Ferric Chloride </v>
          </cell>
          <cell r="D1387" t="str">
            <v>Consumo de Cloruro férrico comercial</v>
          </cell>
        </row>
        <row r="1388">
          <cell r="A1388" t="str">
            <v>m7052</v>
          </cell>
          <cell r="B1388" t="str">
            <v>Consommation de Sulfate d'alumine commercial</v>
          </cell>
          <cell r="C1388" t="str">
            <v>Consumption of  commercial Alumina suphate</v>
          </cell>
          <cell r="D1388" t="str">
            <v>Consumo de Sulfato de aluminio comercial</v>
          </cell>
        </row>
        <row r="1389">
          <cell r="A1389" t="str">
            <v>m7053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1:Y188"/>
  <sheetViews>
    <sheetView showGridLines="0" tabSelected="1" zoomScale="130" zoomScaleNormal="130" zoomScalePageLayoutView="0" workbookViewId="0" topLeftCell="A1">
      <selection activeCell="A12" sqref="A12"/>
    </sheetView>
  </sheetViews>
  <sheetFormatPr defaultColWidth="9.140625" defaultRowHeight="12.75" outlineLevelRow="2"/>
  <cols>
    <col min="1" max="1" width="44.28125" style="53" bestFit="1" customWidth="1"/>
    <col min="2" max="2" width="14.00390625" style="53" bestFit="1" customWidth="1"/>
    <col min="3" max="3" width="15.8515625" style="53" bestFit="1" customWidth="1"/>
    <col min="4" max="4" width="14.00390625" style="53" bestFit="1" customWidth="1"/>
    <col min="5" max="5" width="9.28125" style="53" bestFit="1" customWidth="1"/>
    <col min="6" max="7" width="9.140625" style="53" customWidth="1"/>
    <col min="8" max="8" width="9.28125" style="53" bestFit="1" customWidth="1"/>
    <col min="9" max="16" width="9.140625" style="53" customWidth="1"/>
    <col min="17" max="17" width="10.00390625" style="53" bestFit="1" customWidth="1"/>
    <col min="18" max="16384" width="9.140625" style="53" customWidth="1"/>
  </cols>
  <sheetData>
    <row r="1" spans="1:2" ht="11.25">
      <c r="A1" s="502" t="s">
        <v>160</v>
      </c>
      <c r="B1" s="503"/>
    </row>
    <row r="2" ht="11.25"/>
    <row r="3" spans="1:4" ht="11.25" outlineLevel="1">
      <c r="A3" s="53" t="s">
        <v>137</v>
      </c>
      <c r="C3" s="504" t="s">
        <v>136</v>
      </c>
      <c r="D3" s="505">
        <f>IF(C3="Rs. in Crores",10^7,IF(C3="Rs. in Million",10^6,IF(C3="Rs. in Lakhs",10^5,"Error")))</f>
        <v>10000000</v>
      </c>
    </row>
    <row r="4" spans="1:4" ht="11.25" outlineLevel="1">
      <c r="A4" s="53" t="s">
        <v>107</v>
      </c>
      <c r="D4" s="53">
        <v>365</v>
      </c>
    </row>
    <row r="5" spans="1:4" ht="11.25" outlineLevel="1">
      <c r="A5" s="53" t="s">
        <v>227</v>
      </c>
      <c r="D5" s="53">
        <v>1000</v>
      </c>
    </row>
    <row r="6" ht="11.25"/>
    <row r="7" spans="1:24" ht="11.25">
      <c r="A7" s="506" t="s">
        <v>422</v>
      </c>
      <c r="B7" s="506" t="s">
        <v>455</v>
      </c>
      <c r="E7" s="507">
        <f>E18</f>
        <v>2012</v>
      </c>
      <c r="F7" s="507">
        <f>E7+1</f>
        <v>2013</v>
      </c>
      <c r="G7" s="507">
        <f aca="true" t="shared" si="0" ref="G7:X7">F7+1</f>
        <v>2014</v>
      </c>
      <c r="H7" s="507">
        <f t="shared" si="0"/>
        <v>2015</v>
      </c>
      <c r="I7" s="507">
        <f t="shared" si="0"/>
        <v>2016</v>
      </c>
      <c r="J7" s="507">
        <f t="shared" si="0"/>
        <v>2017</v>
      </c>
      <c r="K7" s="507">
        <f t="shared" si="0"/>
        <v>2018</v>
      </c>
      <c r="L7" s="507">
        <f t="shared" si="0"/>
        <v>2019</v>
      </c>
      <c r="M7" s="507">
        <f t="shared" si="0"/>
        <v>2020</v>
      </c>
      <c r="N7" s="507">
        <f t="shared" si="0"/>
        <v>2021</v>
      </c>
      <c r="O7" s="507">
        <f t="shared" si="0"/>
        <v>2022</v>
      </c>
      <c r="P7" s="507">
        <f t="shared" si="0"/>
        <v>2023</v>
      </c>
      <c r="Q7" s="507">
        <f t="shared" si="0"/>
        <v>2024</v>
      </c>
      <c r="R7" s="507">
        <f t="shared" si="0"/>
        <v>2025</v>
      </c>
      <c r="S7" s="507">
        <f t="shared" si="0"/>
        <v>2026</v>
      </c>
      <c r="T7" s="507">
        <f t="shared" si="0"/>
        <v>2027</v>
      </c>
      <c r="U7" s="507">
        <f t="shared" si="0"/>
        <v>2028</v>
      </c>
      <c r="V7" s="507">
        <f t="shared" si="0"/>
        <v>2029</v>
      </c>
      <c r="W7" s="507">
        <f t="shared" si="0"/>
        <v>2030</v>
      </c>
      <c r="X7" s="507">
        <f t="shared" si="0"/>
        <v>2031</v>
      </c>
    </row>
    <row r="8" spans="1:24" ht="11.25">
      <c r="A8" s="53" t="s">
        <v>423</v>
      </c>
      <c r="B8" s="508">
        <v>1</v>
      </c>
      <c r="E8" s="509">
        <v>63</v>
      </c>
      <c r="F8" s="54">
        <f>E8*(1+F9)</f>
        <v>66.78</v>
      </c>
      <c r="G8" s="54">
        <f aca="true" t="shared" si="1" ref="G8:X8">F8*(1+G9)</f>
        <v>70.7868</v>
      </c>
      <c r="H8" s="54">
        <f t="shared" si="1"/>
        <v>75.034008</v>
      </c>
      <c r="I8" s="54">
        <f t="shared" si="1"/>
        <v>79.53604848</v>
      </c>
      <c r="J8" s="54">
        <f t="shared" si="1"/>
        <v>84.3082113888</v>
      </c>
      <c r="K8" s="54">
        <f t="shared" si="1"/>
        <v>89.366704072128</v>
      </c>
      <c r="L8" s="54">
        <f t="shared" si="1"/>
        <v>94.72870631645569</v>
      </c>
      <c r="M8" s="54">
        <f t="shared" si="1"/>
        <v>100.41242869544303</v>
      </c>
      <c r="N8" s="54">
        <f t="shared" si="1"/>
        <v>106.43717441716962</v>
      </c>
      <c r="O8" s="54">
        <f t="shared" si="1"/>
        <v>112.8234048821998</v>
      </c>
      <c r="P8" s="54">
        <f t="shared" si="1"/>
        <v>119.59280917513179</v>
      </c>
      <c r="Q8" s="54">
        <f t="shared" si="1"/>
        <v>126.76837772563971</v>
      </c>
      <c r="R8" s="54">
        <f t="shared" si="1"/>
        <v>134.3744803891781</v>
      </c>
      <c r="S8" s="54">
        <f t="shared" si="1"/>
        <v>142.4369492125288</v>
      </c>
      <c r="T8" s="54">
        <f t="shared" si="1"/>
        <v>150.98316616528052</v>
      </c>
      <c r="U8" s="54">
        <f t="shared" si="1"/>
        <v>160.04215613519736</v>
      </c>
      <c r="V8" s="54">
        <f t="shared" si="1"/>
        <v>169.6446855033092</v>
      </c>
      <c r="W8" s="54">
        <f t="shared" si="1"/>
        <v>179.82336663350776</v>
      </c>
      <c r="X8" s="54">
        <f t="shared" si="1"/>
        <v>190.61276863151824</v>
      </c>
    </row>
    <row r="9" spans="1:24" ht="11.25">
      <c r="A9" s="53" t="s">
        <v>237</v>
      </c>
      <c r="C9" s="510"/>
      <c r="F9" s="511">
        <v>0.06</v>
      </c>
      <c r="G9" s="511">
        <f>F9</f>
        <v>0.06</v>
      </c>
      <c r="H9" s="511">
        <f aca="true" t="shared" si="2" ref="H9:X9">G9</f>
        <v>0.06</v>
      </c>
      <c r="I9" s="511">
        <f t="shared" si="2"/>
        <v>0.06</v>
      </c>
      <c r="J9" s="511">
        <f t="shared" si="2"/>
        <v>0.06</v>
      </c>
      <c r="K9" s="511">
        <f t="shared" si="2"/>
        <v>0.06</v>
      </c>
      <c r="L9" s="511">
        <f t="shared" si="2"/>
        <v>0.06</v>
      </c>
      <c r="M9" s="511">
        <f t="shared" si="2"/>
        <v>0.06</v>
      </c>
      <c r="N9" s="511">
        <f t="shared" si="2"/>
        <v>0.06</v>
      </c>
      <c r="O9" s="511">
        <f t="shared" si="2"/>
        <v>0.06</v>
      </c>
      <c r="P9" s="511">
        <f t="shared" si="2"/>
        <v>0.06</v>
      </c>
      <c r="Q9" s="511">
        <f t="shared" si="2"/>
        <v>0.06</v>
      </c>
      <c r="R9" s="511">
        <f t="shared" si="2"/>
        <v>0.06</v>
      </c>
      <c r="S9" s="511">
        <f t="shared" si="2"/>
        <v>0.06</v>
      </c>
      <c r="T9" s="511">
        <f t="shared" si="2"/>
        <v>0.06</v>
      </c>
      <c r="U9" s="511">
        <f t="shared" si="2"/>
        <v>0.06</v>
      </c>
      <c r="V9" s="511">
        <f t="shared" si="2"/>
        <v>0.06</v>
      </c>
      <c r="W9" s="511">
        <f t="shared" si="2"/>
        <v>0.06</v>
      </c>
      <c r="X9" s="511">
        <f t="shared" si="2"/>
        <v>0.06</v>
      </c>
    </row>
    <row r="10" spans="1:24" ht="11.25">
      <c r="A10" s="53" t="s">
        <v>427</v>
      </c>
      <c r="E10" s="512">
        <f>((16.25-12.25)/(12.25*($Q$7-$E$7)))</f>
        <v>0.027210884353741496</v>
      </c>
      <c r="F10" s="512">
        <f aca="true" t="shared" si="3" ref="F10:X10">((16.25-12.25)/(12.25*($Q$7-$E$7)))</f>
        <v>0.027210884353741496</v>
      </c>
      <c r="G10" s="512">
        <f t="shared" si="3"/>
        <v>0.027210884353741496</v>
      </c>
      <c r="H10" s="512">
        <f t="shared" si="3"/>
        <v>0.027210884353741496</v>
      </c>
      <c r="I10" s="512">
        <f t="shared" si="3"/>
        <v>0.027210884353741496</v>
      </c>
      <c r="J10" s="512">
        <f t="shared" si="3"/>
        <v>0.027210884353741496</v>
      </c>
      <c r="K10" s="512">
        <f t="shared" si="3"/>
        <v>0.027210884353741496</v>
      </c>
      <c r="L10" s="512">
        <f t="shared" si="3"/>
        <v>0.027210884353741496</v>
      </c>
      <c r="M10" s="512">
        <f t="shared" si="3"/>
        <v>0.027210884353741496</v>
      </c>
      <c r="N10" s="512">
        <f t="shared" si="3"/>
        <v>0.027210884353741496</v>
      </c>
      <c r="O10" s="512">
        <f t="shared" si="3"/>
        <v>0.027210884353741496</v>
      </c>
      <c r="P10" s="512">
        <f t="shared" si="3"/>
        <v>0.027210884353741496</v>
      </c>
      <c r="Q10" s="512">
        <f t="shared" si="3"/>
        <v>0.027210884353741496</v>
      </c>
      <c r="R10" s="512">
        <f t="shared" si="3"/>
        <v>0.027210884353741496</v>
      </c>
      <c r="S10" s="512">
        <f t="shared" si="3"/>
        <v>0.027210884353741496</v>
      </c>
      <c r="T10" s="512">
        <f t="shared" si="3"/>
        <v>0.027210884353741496</v>
      </c>
      <c r="U10" s="512">
        <f t="shared" si="3"/>
        <v>0.027210884353741496</v>
      </c>
      <c r="V10" s="512">
        <f t="shared" si="3"/>
        <v>0.027210884353741496</v>
      </c>
      <c r="W10" s="512">
        <f t="shared" si="3"/>
        <v>0.027210884353741496</v>
      </c>
      <c r="X10" s="512">
        <f t="shared" si="3"/>
        <v>0.027210884353741496</v>
      </c>
    </row>
    <row r="11" spans="1:2" ht="11.25">
      <c r="A11" s="53" t="s">
        <v>79</v>
      </c>
      <c r="B11" s="513">
        <f>Ratios!B36</f>
        <v>0.13505730956217918</v>
      </c>
    </row>
    <row r="12" spans="1:2" ht="11.25">
      <c r="A12" s="53" t="s">
        <v>80</v>
      </c>
      <c r="B12" s="513">
        <f>Ratios!B38</f>
        <v>0.16213452867611278</v>
      </c>
    </row>
    <row r="13" ht="11.25"/>
    <row r="14" ht="11.25"/>
    <row r="15" ht="11.25"/>
    <row r="16" ht="11.25"/>
    <row r="17" spans="1:2" ht="11.25">
      <c r="A17" s="506" t="s">
        <v>139</v>
      </c>
      <c r="B17" s="506"/>
    </row>
    <row r="18" spans="1:24" ht="11.25" outlineLevel="1">
      <c r="A18" s="507" t="s">
        <v>0</v>
      </c>
      <c r="B18" s="507"/>
      <c r="C18" s="507"/>
      <c r="D18" s="507"/>
      <c r="E18" s="507">
        <f>(YEAR(C24))+1</f>
        <v>2012</v>
      </c>
      <c r="F18" s="507">
        <f>IF(F19&gt;$C$27,0,E18+1)</f>
        <v>2013</v>
      </c>
      <c r="G18" s="507">
        <f aca="true" t="shared" si="4" ref="G18:U18">IF(G19&gt;$C$27,0,F18+1)</f>
        <v>2014</v>
      </c>
      <c r="H18" s="507">
        <f t="shared" si="4"/>
        <v>2015</v>
      </c>
      <c r="I18" s="507">
        <f t="shared" si="4"/>
        <v>2016</v>
      </c>
      <c r="J18" s="507">
        <f t="shared" si="4"/>
        <v>2017</v>
      </c>
      <c r="K18" s="507">
        <f t="shared" si="4"/>
        <v>2018</v>
      </c>
      <c r="L18" s="507">
        <f t="shared" si="4"/>
        <v>2019</v>
      </c>
      <c r="M18" s="507">
        <f t="shared" si="4"/>
        <v>2020</v>
      </c>
      <c r="N18" s="507">
        <f t="shared" si="4"/>
        <v>2021</v>
      </c>
      <c r="O18" s="507">
        <f t="shared" si="4"/>
        <v>2022</v>
      </c>
      <c r="P18" s="507">
        <f t="shared" si="4"/>
        <v>2023</v>
      </c>
      <c r="Q18" s="507">
        <f t="shared" si="4"/>
        <v>2024</v>
      </c>
      <c r="R18" s="507">
        <f t="shared" si="4"/>
        <v>2025</v>
      </c>
      <c r="S18" s="507">
        <f t="shared" si="4"/>
        <v>2026</v>
      </c>
      <c r="T18" s="507">
        <f t="shared" si="4"/>
        <v>2027</v>
      </c>
      <c r="U18" s="507">
        <f t="shared" si="4"/>
        <v>2028</v>
      </c>
      <c r="V18" s="507">
        <f>U18+1</f>
        <v>2029</v>
      </c>
      <c r="W18" s="507">
        <f>V18+1</f>
        <v>2030</v>
      </c>
      <c r="X18" s="507">
        <f>W18+1</f>
        <v>2031</v>
      </c>
    </row>
    <row r="19" spans="1:24" ht="11.25" outlineLevel="1">
      <c r="A19" s="507" t="s">
        <v>1</v>
      </c>
      <c r="B19" s="507"/>
      <c r="C19" s="507"/>
      <c r="D19" s="507"/>
      <c r="E19" s="507">
        <v>1</v>
      </c>
      <c r="F19" s="507">
        <v>2</v>
      </c>
      <c r="G19" s="507">
        <v>3</v>
      </c>
      <c r="H19" s="507">
        <v>4</v>
      </c>
      <c r="I19" s="507">
        <v>5</v>
      </c>
      <c r="J19" s="507">
        <v>6</v>
      </c>
      <c r="K19" s="507">
        <v>7</v>
      </c>
      <c r="L19" s="507">
        <v>8</v>
      </c>
      <c r="M19" s="507">
        <v>9</v>
      </c>
      <c r="N19" s="507">
        <v>10</v>
      </c>
      <c r="O19" s="507">
        <v>11</v>
      </c>
      <c r="P19" s="507">
        <v>12</v>
      </c>
      <c r="Q19" s="507">
        <v>13</v>
      </c>
      <c r="R19" s="507">
        <v>14</v>
      </c>
      <c r="S19" s="507">
        <v>15</v>
      </c>
      <c r="T19" s="507">
        <v>16</v>
      </c>
      <c r="U19" s="507">
        <v>17</v>
      </c>
      <c r="V19" s="507">
        <v>18</v>
      </c>
      <c r="W19" s="507">
        <v>19</v>
      </c>
      <c r="X19" s="507">
        <v>20</v>
      </c>
    </row>
    <row r="20" ht="11.25" outlineLevel="1"/>
    <row r="21" spans="1:3" ht="11.25" outlineLevel="1">
      <c r="A21" s="53" t="s">
        <v>140</v>
      </c>
      <c r="C21" s="514">
        <v>40634</v>
      </c>
    </row>
    <row r="22" spans="1:3" ht="11.25" outlineLevel="1">
      <c r="A22" s="53" t="s">
        <v>165</v>
      </c>
      <c r="C22" s="515">
        <v>6</v>
      </c>
    </row>
    <row r="23" spans="1:3" ht="11.25" outlineLevel="1">
      <c r="A23" s="53" t="s">
        <v>145</v>
      </c>
      <c r="C23" s="515">
        <v>36</v>
      </c>
    </row>
    <row r="24" spans="1:3" ht="11.25" outlineLevel="1">
      <c r="A24" s="53" t="s">
        <v>141</v>
      </c>
      <c r="C24" s="516">
        <f>DATE(YEAR(C21),MONTH(C21)+C22,DAY(C21))</f>
        <v>40817</v>
      </c>
    </row>
    <row r="25" spans="1:3" ht="11.25" outlineLevel="1">
      <c r="A25" s="53" t="s">
        <v>142</v>
      </c>
      <c r="C25" s="517">
        <f>DATE(YEAR(C24),MONTH(C24)+C23,DAY(C24)-1)</f>
        <v>41912</v>
      </c>
    </row>
    <row r="26" spans="1:3" ht="11.25" outlineLevel="1">
      <c r="A26" s="53" t="s">
        <v>143</v>
      </c>
      <c r="C26" s="518">
        <f>C25+1</f>
        <v>41913</v>
      </c>
    </row>
    <row r="27" spans="1:3" ht="11.25" outlineLevel="1">
      <c r="A27" s="53" t="s">
        <v>166</v>
      </c>
      <c r="C27" s="519">
        <v>17</v>
      </c>
    </row>
    <row r="28" spans="1:3" ht="11.25" outlineLevel="1">
      <c r="A28" s="53" t="s">
        <v>144</v>
      </c>
      <c r="C28" s="517">
        <f>DATE(YEAR(C26)+C27,MONTH(C26),DAY(C26)-1)</f>
        <v>48121</v>
      </c>
    </row>
    <row r="29" ht="11.25">
      <c r="D29" s="80"/>
    </row>
    <row r="30" spans="1:4" ht="11.25">
      <c r="A30" s="506" t="s">
        <v>193</v>
      </c>
      <c r="B30" s="506"/>
      <c r="D30" s="80"/>
    </row>
    <row r="31" spans="1:4" ht="11.25" outlineLevel="1">
      <c r="A31" s="520"/>
      <c r="B31" s="520"/>
      <c r="C31" s="520"/>
      <c r="D31" s="521"/>
    </row>
    <row r="32" spans="1:24" ht="11.25" outlineLevel="1">
      <c r="A32" s="507" t="s">
        <v>0</v>
      </c>
      <c r="B32" s="507"/>
      <c r="C32" s="567"/>
      <c r="D32" s="507"/>
      <c r="E32" s="507">
        <f>E18</f>
        <v>2012</v>
      </c>
      <c r="F32" s="507">
        <f aca="true" t="shared" si="5" ref="F32:X32">F18</f>
        <v>2013</v>
      </c>
      <c r="G32" s="507">
        <f t="shared" si="5"/>
        <v>2014</v>
      </c>
      <c r="H32" s="507">
        <f t="shared" si="5"/>
        <v>2015</v>
      </c>
      <c r="I32" s="507">
        <f t="shared" si="5"/>
        <v>2016</v>
      </c>
      <c r="J32" s="507">
        <f t="shared" si="5"/>
        <v>2017</v>
      </c>
      <c r="K32" s="507">
        <f t="shared" si="5"/>
        <v>2018</v>
      </c>
      <c r="L32" s="507">
        <f t="shared" si="5"/>
        <v>2019</v>
      </c>
      <c r="M32" s="507">
        <f t="shared" si="5"/>
        <v>2020</v>
      </c>
      <c r="N32" s="507">
        <f t="shared" si="5"/>
        <v>2021</v>
      </c>
      <c r="O32" s="507">
        <f t="shared" si="5"/>
        <v>2022</v>
      </c>
      <c r="P32" s="507">
        <f t="shared" si="5"/>
        <v>2023</v>
      </c>
      <c r="Q32" s="507">
        <f t="shared" si="5"/>
        <v>2024</v>
      </c>
      <c r="R32" s="507">
        <f t="shared" si="5"/>
        <v>2025</v>
      </c>
      <c r="S32" s="507">
        <f t="shared" si="5"/>
        <v>2026</v>
      </c>
      <c r="T32" s="507">
        <f t="shared" si="5"/>
        <v>2027</v>
      </c>
      <c r="U32" s="507">
        <f t="shared" si="5"/>
        <v>2028</v>
      </c>
      <c r="V32" s="507">
        <f t="shared" si="5"/>
        <v>2029</v>
      </c>
      <c r="W32" s="507">
        <f t="shared" si="5"/>
        <v>2030</v>
      </c>
      <c r="X32" s="507">
        <f t="shared" si="5"/>
        <v>2031</v>
      </c>
    </row>
    <row r="33" spans="1:24" ht="11.25" outlineLevel="1">
      <c r="A33" s="507" t="s">
        <v>1</v>
      </c>
      <c r="B33" s="507"/>
      <c r="C33" s="567"/>
      <c r="D33" s="507"/>
      <c r="E33" s="507">
        <f>E19</f>
        <v>1</v>
      </c>
      <c r="F33" s="507">
        <f aca="true" t="shared" si="6" ref="F33:X33">F19</f>
        <v>2</v>
      </c>
      <c r="G33" s="507">
        <f t="shared" si="6"/>
        <v>3</v>
      </c>
      <c r="H33" s="507">
        <f t="shared" si="6"/>
        <v>4</v>
      </c>
      <c r="I33" s="507">
        <f t="shared" si="6"/>
        <v>5</v>
      </c>
      <c r="J33" s="507">
        <f t="shared" si="6"/>
        <v>6</v>
      </c>
      <c r="K33" s="507">
        <f t="shared" si="6"/>
        <v>7</v>
      </c>
      <c r="L33" s="507">
        <f t="shared" si="6"/>
        <v>8</v>
      </c>
      <c r="M33" s="507">
        <f t="shared" si="6"/>
        <v>9</v>
      </c>
      <c r="N33" s="507">
        <f t="shared" si="6"/>
        <v>10</v>
      </c>
      <c r="O33" s="507">
        <f t="shared" si="6"/>
        <v>11</v>
      </c>
      <c r="P33" s="507">
        <f t="shared" si="6"/>
        <v>12</v>
      </c>
      <c r="Q33" s="507">
        <f t="shared" si="6"/>
        <v>13</v>
      </c>
      <c r="R33" s="507">
        <f t="shared" si="6"/>
        <v>14</v>
      </c>
      <c r="S33" s="507">
        <f t="shared" si="6"/>
        <v>15</v>
      </c>
      <c r="T33" s="507">
        <f t="shared" si="6"/>
        <v>16</v>
      </c>
      <c r="U33" s="507">
        <f t="shared" si="6"/>
        <v>17</v>
      </c>
      <c r="V33" s="507">
        <f t="shared" si="6"/>
        <v>18</v>
      </c>
      <c r="W33" s="507">
        <f t="shared" si="6"/>
        <v>19</v>
      </c>
      <c r="X33" s="507">
        <f t="shared" si="6"/>
        <v>20</v>
      </c>
    </row>
    <row r="34" spans="1:4" ht="11.25" outlineLevel="1">
      <c r="A34" s="520" t="s">
        <v>176</v>
      </c>
      <c r="B34" s="520"/>
      <c r="C34" s="520"/>
      <c r="D34" s="521"/>
    </row>
    <row r="35" spans="1:4" ht="11.25" outlineLevel="1">
      <c r="A35" s="520" t="s">
        <v>177</v>
      </c>
      <c r="B35" s="520"/>
      <c r="C35" s="520"/>
      <c r="D35" s="521"/>
    </row>
    <row r="36" spans="1:7" ht="11.25" outlineLevel="1">
      <c r="A36" s="522" t="s">
        <v>178</v>
      </c>
      <c r="B36" s="520"/>
      <c r="C36" s="523">
        <v>0.9</v>
      </c>
      <c r="D36" s="521"/>
      <c r="E36" s="524">
        <v>1800</v>
      </c>
      <c r="F36" s="524">
        <v>1800</v>
      </c>
      <c r="G36" s="524">
        <v>1800</v>
      </c>
    </row>
    <row r="37" spans="1:7" ht="11.25" outlineLevel="1">
      <c r="A37" s="522" t="s">
        <v>179</v>
      </c>
      <c r="B37" s="520"/>
      <c r="C37" s="523">
        <v>0.07</v>
      </c>
      <c r="D37" s="521"/>
      <c r="E37" s="524">
        <v>2925</v>
      </c>
      <c r="F37" s="524">
        <v>2925</v>
      </c>
      <c r="G37" s="524">
        <v>2925</v>
      </c>
    </row>
    <row r="38" spans="1:7" ht="11.25" outlineLevel="1">
      <c r="A38" s="522" t="s">
        <v>180</v>
      </c>
      <c r="B38" s="520"/>
      <c r="C38" s="523">
        <v>0.03</v>
      </c>
      <c r="D38" s="521"/>
      <c r="E38" s="524">
        <v>6825</v>
      </c>
      <c r="F38" s="524">
        <v>6825</v>
      </c>
      <c r="G38" s="524">
        <v>6825</v>
      </c>
    </row>
    <row r="39" spans="1:7" ht="11.25" outlineLevel="1">
      <c r="A39" s="522" t="s">
        <v>181</v>
      </c>
      <c r="B39" s="520"/>
      <c r="C39" s="523">
        <v>0</v>
      </c>
      <c r="D39" s="521"/>
      <c r="E39" s="524">
        <v>30000</v>
      </c>
      <c r="F39" s="524">
        <v>30000</v>
      </c>
      <c r="G39" s="524">
        <v>30000</v>
      </c>
    </row>
    <row r="40" spans="1:7" ht="11.25" outlineLevel="1">
      <c r="A40" s="522" t="s">
        <v>182</v>
      </c>
      <c r="B40" s="520"/>
      <c r="C40" s="523">
        <v>0</v>
      </c>
      <c r="D40" s="521"/>
      <c r="E40" s="524">
        <v>50000</v>
      </c>
      <c r="F40" s="524">
        <v>50000</v>
      </c>
      <c r="G40" s="524">
        <v>50000</v>
      </c>
    </row>
    <row r="41" spans="1:7" ht="11.25" outlineLevel="1">
      <c r="A41" s="522" t="s">
        <v>183</v>
      </c>
      <c r="B41" s="520"/>
      <c r="C41" s="523">
        <v>0</v>
      </c>
      <c r="D41" s="521"/>
      <c r="E41" s="524">
        <v>80000</v>
      </c>
      <c r="F41" s="524">
        <v>80000</v>
      </c>
      <c r="G41" s="524">
        <v>80000</v>
      </c>
    </row>
    <row r="42" spans="1:7" ht="11.25" outlineLevel="1">
      <c r="A42" s="522" t="s">
        <v>184</v>
      </c>
      <c r="B42" s="520"/>
      <c r="C42" s="523">
        <v>0</v>
      </c>
      <c r="D42" s="521"/>
      <c r="E42" s="524">
        <v>120000</v>
      </c>
      <c r="F42" s="524">
        <v>120000</v>
      </c>
      <c r="G42" s="524">
        <v>120000</v>
      </c>
    </row>
    <row r="43" spans="1:7" ht="11.25" outlineLevel="1">
      <c r="A43" s="522" t="s">
        <v>185</v>
      </c>
      <c r="B43" s="520"/>
      <c r="C43" s="523">
        <v>0</v>
      </c>
      <c r="D43" s="521"/>
      <c r="E43" s="524">
        <v>200000</v>
      </c>
      <c r="F43" s="524">
        <v>200000</v>
      </c>
      <c r="G43" s="524">
        <v>200000</v>
      </c>
    </row>
    <row r="44" spans="1:7" ht="11.25" outlineLevel="1">
      <c r="A44" s="522" t="s">
        <v>186</v>
      </c>
      <c r="B44" s="520"/>
      <c r="C44" s="523">
        <v>0</v>
      </c>
      <c r="D44" s="521"/>
      <c r="E44" s="524">
        <v>300000</v>
      </c>
      <c r="F44" s="524">
        <v>300000</v>
      </c>
      <c r="G44" s="524">
        <v>300000</v>
      </c>
    </row>
    <row r="45" spans="1:7" ht="11.25" outlineLevel="1">
      <c r="A45" s="520" t="s">
        <v>188</v>
      </c>
      <c r="B45" s="520"/>
      <c r="C45" s="520"/>
      <c r="D45" s="521"/>
      <c r="E45" s="525"/>
      <c r="F45" s="525"/>
      <c r="G45" s="525"/>
    </row>
    <row r="46" spans="1:7" ht="11.25" outlineLevel="1">
      <c r="A46" s="520" t="s">
        <v>177</v>
      </c>
      <c r="B46" s="520"/>
      <c r="C46" s="520"/>
      <c r="D46" s="521"/>
      <c r="E46" s="525"/>
      <c r="F46" s="525"/>
      <c r="G46" s="525"/>
    </row>
    <row r="47" spans="1:7" ht="11.25" outlineLevel="1">
      <c r="A47" s="522" t="s">
        <v>178</v>
      </c>
      <c r="B47" s="520"/>
      <c r="C47" s="523">
        <v>0.9</v>
      </c>
      <c r="D47" s="521"/>
      <c r="E47" s="524">
        <v>6500</v>
      </c>
      <c r="F47" s="524">
        <v>6500</v>
      </c>
      <c r="G47" s="524">
        <v>6500</v>
      </c>
    </row>
    <row r="48" spans="1:7" ht="11.25" outlineLevel="1">
      <c r="A48" s="522" t="s">
        <v>179</v>
      </c>
      <c r="B48" s="520"/>
      <c r="C48" s="523">
        <v>0.055</v>
      </c>
      <c r="D48" s="521"/>
      <c r="E48" s="524">
        <v>12000</v>
      </c>
      <c r="F48" s="524">
        <v>12000</v>
      </c>
      <c r="G48" s="524">
        <v>12000</v>
      </c>
    </row>
    <row r="49" spans="1:7" ht="11.25" outlineLevel="1">
      <c r="A49" s="522" t="s">
        <v>180</v>
      </c>
      <c r="B49" s="520"/>
      <c r="C49" s="523">
        <v>0.01</v>
      </c>
      <c r="D49" s="521"/>
      <c r="E49" s="524">
        <v>25000</v>
      </c>
      <c r="F49" s="524">
        <v>25000</v>
      </c>
      <c r="G49" s="524">
        <v>25000</v>
      </c>
    </row>
    <row r="50" spans="1:7" ht="11.25" outlineLevel="1">
      <c r="A50" s="522" t="s">
        <v>181</v>
      </c>
      <c r="B50" s="520"/>
      <c r="C50" s="523">
        <v>0.01</v>
      </c>
      <c r="D50" s="521"/>
      <c r="E50" s="524">
        <v>70000</v>
      </c>
      <c r="F50" s="524">
        <v>70000</v>
      </c>
      <c r="G50" s="524">
        <v>70000</v>
      </c>
    </row>
    <row r="51" spans="1:7" ht="11.25" outlineLevel="1">
      <c r="A51" s="522" t="s">
        <v>182</v>
      </c>
      <c r="B51" s="520"/>
      <c r="C51" s="523">
        <v>0.025</v>
      </c>
      <c r="D51" s="521"/>
      <c r="E51" s="524">
        <v>140000</v>
      </c>
      <c r="F51" s="524">
        <v>140000</v>
      </c>
      <c r="G51" s="524">
        <v>140000</v>
      </c>
    </row>
    <row r="52" spans="1:7" ht="11.25" outlineLevel="1">
      <c r="A52" s="522" t="s">
        <v>183</v>
      </c>
      <c r="B52" s="520"/>
      <c r="C52" s="523">
        <v>0</v>
      </c>
      <c r="D52" s="521"/>
      <c r="E52" s="524">
        <v>200000</v>
      </c>
      <c r="F52" s="524">
        <v>200000</v>
      </c>
      <c r="G52" s="524">
        <v>200000</v>
      </c>
    </row>
    <row r="53" spans="1:7" ht="11.25" outlineLevel="1">
      <c r="A53" s="522" t="s">
        <v>184</v>
      </c>
      <c r="B53" s="520"/>
      <c r="C53" s="523">
        <v>0</v>
      </c>
      <c r="D53" s="521"/>
      <c r="E53" s="524">
        <v>300000</v>
      </c>
      <c r="F53" s="524">
        <v>300000</v>
      </c>
      <c r="G53" s="524">
        <v>300000</v>
      </c>
    </row>
    <row r="54" spans="1:7" ht="11.25" outlineLevel="1">
      <c r="A54" s="522" t="s">
        <v>185</v>
      </c>
      <c r="B54" s="520"/>
      <c r="C54" s="523">
        <v>0</v>
      </c>
      <c r="D54" s="521"/>
      <c r="E54" s="524">
        <v>400000</v>
      </c>
      <c r="F54" s="524">
        <v>400000</v>
      </c>
      <c r="G54" s="524">
        <v>400000</v>
      </c>
    </row>
    <row r="55" spans="1:7" ht="11.25" outlineLevel="1">
      <c r="A55" s="522" t="s">
        <v>186</v>
      </c>
      <c r="B55" s="520"/>
      <c r="C55" s="523">
        <v>0</v>
      </c>
      <c r="D55" s="521"/>
      <c r="E55" s="524">
        <v>500000</v>
      </c>
      <c r="F55" s="524">
        <v>500000</v>
      </c>
      <c r="G55" s="524">
        <v>500000</v>
      </c>
    </row>
    <row r="56" spans="1:7" ht="11.25" outlineLevel="1">
      <c r="A56" s="522"/>
      <c r="B56" s="520"/>
      <c r="C56" s="526"/>
      <c r="D56" s="521"/>
      <c r="E56" s="527"/>
      <c r="F56" s="527"/>
      <c r="G56" s="527"/>
    </row>
    <row r="57" spans="1:4" ht="11.25" outlineLevel="1">
      <c r="A57" s="520" t="s">
        <v>187</v>
      </c>
      <c r="B57" s="520"/>
      <c r="C57" s="520"/>
      <c r="D57" s="521"/>
    </row>
    <row r="58" spans="1:4" ht="11.25" outlineLevel="1">
      <c r="A58" s="520" t="s">
        <v>171</v>
      </c>
      <c r="B58" s="520"/>
      <c r="C58" s="520"/>
      <c r="D58" s="521"/>
    </row>
    <row r="59" spans="1:24" ht="11.25" outlineLevel="1">
      <c r="A59" s="522" t="s">
        <v>167</v>
      </c>
      <c r="B59" s="520"/>
      <c r="C59" s="526">
        <f>D59</f>
        <v>0.5</v>
      </c>
      <c r="D59" s="528">
        <v>0.5</v>
      </c>
      <c r="E59" s="527"/>
      <c r="H59" s="527">
        <v>9</v>
      </c>
      <c r="I59" s="527">
        <v>9</v>
      </c>
      <c r="J59" s="527">
        <v>9</v>
      </c>
      <c r="K59" s="520">
        <v>11</v>
      </c>
      <c r="L59" s="520">
        <v>11</v>
      </c>
      <c r="M59" s="520">
        <v>11</v>
      </c>
      <c r="N59" s="520">
        <v>14</v>
      </c>
      <c r="O59" s="520">
        <v>14</v>
      </c>
      <c r="P59" s="520">
        <v>14</v>
      </c>
      <c r="Q59" s="520">
        <v>17</v>
      </c>
      <c r="R59" s="520">
        <v>17</v>
      </c>
      <c r="S59" s="520">
        <v>17</v>
      </c>
      <c r="T59" s="520">
        <v>21</v>
      </c>
      <c r="U59" s="520">
        <v>21</v>
      </c>
      <c r="V59" s="520">
        <v>21</v>
      </c>
      <c r="W59" s="520">
        <v>26</v>
      </c>
      <c r="X59" s="520">
        <v>26</v>
      </c>
    </row>
    <row r="60" spans="1:24" ht="11.25" outlineLevel="1">
      <c r="A60" s="522" t="s">
        <v>168</v>
      </c>
      <c r="B60" s="520"/>
      <c r="C60" s="526">
        <f>D60</f>
        <v>0.44</v>
      </c>
      <c r="D60" s="528">
        <v>0.44</v>
      </c>
      <c r="E60" s="527"/>
      <c r="H60" s="527">
        <v>15</v>
      </c>
      <c r="I60" s="527">
        <v>15</v>
      </c>
      <c r="J60" s="527">
        <v>15</v>
      </c>
      <c r="K60" s="520">
        <v>18</v>
      </c>
      <c r="L60" s="520">
        <v>18</v>
      </c>
      <c r="M60" s="520">
        <v>18</v>
      </c>
      <c r="N60" s="520">
        <v>22</v>
      </c>
      <c r="O60" s="520">
        <v>22</v>
      </c>
      <c r="P60" s="520">
        <v>22</v>
      </c>
      <c r="Q60" s="520">
        <v>27</v>
      </c>
      <c r="R60" s="520">
        <v>27</v>
      </c>
      <c r="S60" s="520">
        <v>27</v>
      </c>
      <c r="T60" s="520">
        <v>33</v>
      </c>
      <c r="U60" s="520">
        <v>33</v>
      </c>
      <c r="V60" s="520">
        <v>33</v>
      </c>
      <c r="W60" s="520">
        <v>40</v>
      </c>
      <c r="X60" s="520">
        <v>40</v>
      </c>
    </row>
    <row r="61" spans="1:24" ht="11.25" outlineLevel="1">
      <c r="A61" s="522" t="s">
        <v>169</v>
      </c>
      <c r="B61" s="520"/>
      <c r="C61" s="526">
        <f>D61</f>
        <v>0.04</v>
      </c>
      <c r="D61" s="528">
        <v>0.04</v>
      </c>
      <c r="E61" s="527"/>
      <c r="H61" s="527">
        <v>23</v>
      </c>
      <c r="I61" s="527">
        <v>23</v>
      </c>
      <c r="J61" s="527">
        <v>23</v>
      </c>
      <c r="K61" s="520">
        <v>28</v>
      </c>
      <c r="L61" s="520">
        <v>28</v>
      </c>
      <c r="M61" s="520">
        <v>28</v>
      </c>
      <c r="N61" s="520">
        <v>34</v>
      </c>
      <c r="O61" s="520">
        <v>34</v>
      </c>
      <c r="P61" s="520">
        <v>34</v>
      </c>
      <c r="Q61" s="520">
        <v>41</v>
      </c>
      <c r="R61" s="520">
        <v>41</v>
      </c>
      <c r="S61" s="520">
        <v>41</v>
      </c>
      <c r="T61" s="520">
        <v>50</v>
      </c>
      <c r="U61" s="520">
        <v>50</v>
      </c>
      <c r="V61" s="520">
        <v>50</v>
      </c>
      <c r="W61" s="520">
        <v>60</v>
      </c>
      <c r="X61" s="520">
        <v>60</v>
      </c>
    </row>
    <row r="62" spans="1:24" ht="11.25" outlineLevel="1">
      <c r="A62" s="522" t="s">
        <v>170</v>
      </c>
      <c r="B62" s="520"/>
      <c r="C62" s="526">
        <f>D62</f>
        <v>0.02</v>
      </c>
      <c r="D62" s="528">
        <v>0.02</v>
      </c>
      <c r="E62" s="520"/>
      <c r="H62" s="520">
        <v>30</v>
      </c>
      <c r="I62" s="520">
        <v>30</v>
      </c>
      <c r="J62" s="520">
        <v>30</v>
      </c>
      <c r="K62" s="520">
        <v>36</v>
      </c>
      <c r="L62" s="520">
        <v>36</v>
      </c>
      <c r="M62" s="520">
        <v>36</v>
      </c>
      <c r="N62" s="520">
        <v>44</v>
      </c>
      <c r="O62" s="520">
        <v>44</v>
      </c>
      <c r="P62" s="520">
        <v>44</v>
      </c>
      <c r="Q62" s="520">
        <v>53</v>
      </c>
      <c r="R62" s="520">
        <v>53</v>
      </c>
      <c r="S62" s="520">
        <v>53</v>
      </c>
      <c r="T62" s="520">
        <v>64</v>
      </c>
      <c r="U62" s="520">
        <v>64</v>
      </c>
      <c r="V62" s="520">
        <v>64</v>
      </c>
      <c r="W62" s="520">
        <v>77</v>
      </c>
      <c r="X62" s="520">
        <v>77</v>
      </c>
    </row>
    <row r="63" spans="1:4" ht="11.25" outlineLevel="1">
      <c r="A63" s="520" t="s">
        <v>189</v>
      </c>
      <c r="B63" s="520"/>
      <c r="C63" s="520"/>
      <c r="D63" s="521"/>
    </row>
    <row r="64" spans="1:24" ht="11.25" outlineLevel="1">
      <c r="A64" s="522" t="s">
        <v>172</v>
      </c>
      <c r="B64" s="520"/>
      <c r="C64" s="520"/>
      <c r="D64" s="521"/>
      <c r="H64" s="520">
        <v>44</v>
      </c>
      <c r="I64" s="520">
        <v>44</v>
      </c>
      <c r="J64" s="520">
        <v>44</v>
      </c>
      <c r="K64" s="520">
        <v>53</v>
      </c>
      <c r="L64" s="520">
        <v>53</v>
      </c>
      <c r="M64" s="520">
        <v>53</v>
      </c>
      <c r="N64" s="520">
        <v>64</v>
      </c>
      <c r="O64" s="520">
        <v>64</v>
      </c>
      <c r="P64" s="520">
        <v>64</v>
      </c>
      <c r="Q64" s="520">
        <v>77</v>
      </c>
      <c r="R64" s="520">
        <v>77</v>
      </c>
      <c r="S64" s="520">
        <v>77</v>
      </c>
      <c r="T64" s="520">
        <v>93</v>
      </c>
      <c r="U64" s="520">
        <v>93</v>
      </c>
      <c r="V64" s="520">
        <v>93</v>
      </c>
      <c r="W64" s="520">
        <v>112</v>
      </c>
      <c r="X64" s="520">
        <v>112</v>
      </c>
    </row>
    <row r="65" spans="1:24" ht="11.25" outlineLevel="1">
      <c r="A65" s="522"/>
      <c r="B65" s="520"/>
      <c r="C65" s="520"/>
      <c r="D65" s="521"/>
      <c r="H65" s="520"/>
      <c r="I65" s="520"/>
      <c r="J65" s="520"/>
      <c r="K65" s="520"/>
      <c r="L65" s="520"/>
      <c r="M65" s="520"/>
      <c r="N65" s="520"/>
      <c r="O65" s="520"/>
      <c r="P65" s="520"/>
      <c r="Q65" s="520"/>
      <c r="R65" s="520"/>
      <c r="S65" s="520"/>
      <c r="T65" s="520"/>
      <c r="U65" s="520"/>
      <c r="V65" s="520"/>
      <c r="W65" s="520"/>
      <c r="X65" s="520"/>
    </row>
    <row r="66" spans="1:24" ht="11.25" outlineLevel="1">
      <c r="A66" s="529" t="s">
        <v>216</v>
      </c>
      <c r="B66" s="520"/>
      <c r="C66" s="530">
        <v>12.25</v>
      </c>
      <c r="D66" s="521"/>
      <c r="H66" s="520"/>
      <c r="I66" s="520"/>
      <c r="J66" s="520"/>
      <c r="K66" s="520"/>
      <c r="L66" s="520"/>
      <c r="M66" s="520"/>
      <c r="N66" s="520"/>
      <c r="O66" s="520"/>
      <c r="P66" s="520"/>
      <c r="Q66" s="520"/>
      <c r="R66" s="520"/>
      <c r="S66" s="520"/>
      <c r="T66" s="520"/>
      <c r="U66" s="520"/>
      <c r="V66" s="520"/>
      <c r="W66" s="520"/>
      <c r="X66" s="520"/>
    </row>
    <row r="67" spans="1:24" ht="11.25" outlineLevel="1">
      <c r="A67" s="522"/>
      <c r="B67" s="520"/>
      <c r="C67" s="520"/>
      <c r="D67" s="521"/>
      <c r="H67" s="520"/>
      <c r="I67" s="531"/>
      <c r="J67" s="531"/>
      <c r="K67" s="531"/>
      <c r="L67" s="531"/>
      <c r="M67" s="531"/>
      <c r="N67" s="531"/>
      <c r="O67" s="531"/>
      <c r="P67" s="531"/>
      <c r="Q67" s="531"/>
      <c r="R67" s="531"/>
      <c r="S67" s="531"/>
      <c r="T67" s="531"/>
      <c r="U67" s="531"/>
      <c r="V67" s="531"/>
      <c r="W67" s="531"/>
      <c r="X67" s="531"/>
    </row>
    <row r="68" spans="1:24" ht="22.5" outlineLevel="1">
      <c r="A68" s="532" t="s">
        <v>161</v>
      </c>
      <c r="B68" s="533" t="s">
        <v>459</v>
      </c>
      <c r="C68" s="534">
        <v>100000</v>
      </c>
      <c r="E68" s="535">
        <f>C68</f>
        <v>100000</v>
      </c>
      <c r="F68" s="536">
        <f>E68</f>
        <v>100000</v>
      </c>
      <c r="G68" s="536">
        <f>F68</f>
        <v>100000</v>
      </c>
      <c r="H68" s="536">
        <f>(Revenues!H7*10^5)/Assumptions!$B$75</f>
        <v>189677.96707280257</v>
      </c>
      <c r="I68" s="536">
        <f>(Revenues!I7*10^5)/Assumptions!$B$75</f>
        <v>194839.2722992734</v>
      </c>
      <c r="J68" s="536">
        <f>(Revenues!J7*10^5)/Assumptions!$B$75</f>
        <v>200141.0212053761</v>
      </c>
      <c r="K68" s="536">
        <f>(Revenues!K7*10^5)/Assumptions!$B$75</f>
        <v>205587.03538783532</v>
      </c>
      <c r="L68" s="536">
        <f>(Revenues!L7*10^5)/Assumptions!$B$75</f>
        <v>211181.24043240226</v>
      </c>
      <c r="M68" s="536">
        <f>(Revenues!M7*10^5)/Assumptions!$B$75</f>
        <v>216927.66874348806</v>
      </c>
      <c r="N68" s="536">
        <f>(Revenues!N7*10^5)/Assumptions!$B$75</f>
        <v>222830.46245079386</v>
      </c>
      <c r="O68" s="536">
        <f>(Revenues!O7*10^5)/Assumptions!$B$75</f>
        <v>228893.87639503315</v>
      </c>
      <c r="P68" s="536">
        <f>(Revenues!P7*10^5)/Assumptions!$B$75</f>
        <v>235122.281194898</v>
      </c>
      <c r="Q68" s="536">
        <f>(Revenues!Q7*10^5)/Assumptions!$B$75</f>
        <v>241520.1663974803</v>
      </c>
      <c r="R68" s="536">
        <f>(Revenues!R7*10^5)/Assumptions!$B$75</f>
        <v>248092.14371441858</v>
      </c>
      <c r="S68" s="536">
        <f>(Revenues!S7*10^5)/Assumptions!$B$75</f>
        <v>254842.95034610343</v>
      </c>
      <c r="T68" s="536">
        <f>(Revenues!T7*10^5)/Assumptions!$B$75</f>
        <v>261777.45239633755</v>
      </c>
      <c r="U68" s="536">
        <f>(Revenues!U7*10^5)/Assumptions!$B$75</f>
        <v>268900.6483799114</v>
      </c>
      <c r="V68" s="536">
        <f>(Revenues!V7*10^5)/Assumptions!$B$75</f>
        <v>276217.6728256233</v>
      </c>
      <c r="W68" s="536">
        <f>(Revenues!W7*10^5)/Assumptions!$B$75</f>
        <v>283733.7999773409</v>
      </c>
      <c r="X68" s="536">
        <f>(Revenues!X7*10^5)/Assumptions!$B$75</f>
        <v>291454.447595772</v>
      </c>
    </row>
    <row r="69" spans="1:24" ht="11.25" outlineLevel="1">
      <c r="A69" s="524" t="s">
        <v>86</v>
      </c>
      <c r="B69" s="520"/>
      <c r="D69" s="525"/>
      <c r="E69" s="535">
        <f>E89</f>
        <v>7500</v>
      </c>
      <c r="F69" s="535">
        <f>F89</f>
        <v>25000</v>
      </c>
      <c r="G69" s="535">
        <f>G89</f>
        <v>17500</v>
      </c>
      <c r="H69" s="536"/>
      <c r="I69" s="536"/>
      <c r="J69" s="536"/>
      <c r="K69" s="536"/>
      <c r="L69" s="536"/>
      <c r="M69" s="536"/>
      <c r="N69" s="536"/>
      <c r="O69" s="536"/>
      <c r="P69" s="536"/>
      <c r="Q69" s="536"/>
      <c r="R69" s="536"/>
      <c r="S69" s="536"/>
      <c r="T69" s="536"/>
      <c r="U69" s="536"/>
      <c r="V69" s="536"/>
      <c r="W69" s="536"/>
      <c r="X69" s="536"/>
    </row>
    <row r="70" spans="1:24" s="80" customFormat="1" ht="11.25" outlineLevel="1">
      <c r="A70" s="520"/>
      <c r="B70" s="520"/>
      <c r="E70" s="537"/>
      <c r="F70" s="537"/>
      <c r="G70" s="537"/>
      <c r="H70" s="537"/>
      <c r="I70" s="537"/>
      <c r="J70" s="537"/>
      <c r="K70" s="538"/>
      <c r="L70" s="538"/>
      <c r="M70" s="538"/>
      <c r="N70" s="538"/>
      <c r="O70" s="538"/>
      <c r="P70" s="538"/>
      <c r="Q70" s="538"/>
      <c r="R70" s="538"/>
      <c r="S70" s="538"/>
      <c r="T70" s="538"/>
      <c r="U70" s="538"/>
      <c r="V70" s="538"/>
      <c r="W70" s="538"/>
      <c r="X70" s="538"/>
    </row>
    <row r="71" spans="1:24" s="80" customFormat="1" ht="11.25" outlineLevel="1">
      <c r="A71" s="507" t="s">
        <v>0</v>
      </c>
      <c r="B71" s="507"/>
      <c r="C71" s="567"/>
      <c r="D71" s="507"/>
      <c r="E71" s="507">
        <f>E18</f>
        <v>2012</v>
      </c>
      <c r="F71" s="507">
        <f aca="true" t="shared" si="7" ref="F71:X71">F18</f>
        <v>2013</v>
      </c>
      <c r="G71" s="507">
        <f t="shared" si="7"/>
        <v>2014</v>
      </c>
      <c r="H71" s="507">
        <f t="shared" si="7"/>
        <v>2015</v>
      </c>
      <c r="I71" s="507">
        <f t="shared" si="7"/>
        <v>2016</v>
      </c>
      <c r="J71" s="507">
        <f t="shared" si="7"/>
        <v>2017</v>
      </c>
      <c r="K71" s="507">
        <f t="shared" si="7"/>
        <v>2018</v>
      </c>
      <c r="L71" s="507">
        <f t="shared" si="7"/>
        <v>2019</v>
      </c>
      <c r="M71" s="507">
        <f t="shared" si="7"/>
        <v>2020</v>
      </c>
      <c r="N71" s="507">
        <f t="shared" si="7"/>
        <v>2021</v>
      </c>
      <c r="O71" s="507">
        <f t="shared" si="7"/>
        <v>2022</v>
      </c>
      <c r="P71" s="507">
        <f t="shared" si="7"/>
        <v>2023</v>
      </c>
      <c r="Q71" s="507">
        <f t="shared" si="7"/>
        <v>2024</v>
      </c>
      <c r="R71" s="507">
        <f t="shared" si="7"/>
        <v>2025</v>
      </c>
      <c r="S71" s="507">
        <f t="shared" si="7"/>
        <v>2026</v>
      </c>
      <c r="T71" s="507">
        <f t="shared" si="7"/>
        <v>2027</v>
      </c>
      <c r="U71" s="507">
        <f t="shared" si="7"/>
        <v>2028</v>
      </c>
      <c r="V71" s="507">
        <f t="shared" si="7"/>
        <v>2029</v>
      </c>
      <c r="W71" s="507">
        <f t="shared" si="7"/>
        <v>2030</v>
      </c>
      <c r="X71" s="507">
        <f t="shared" si="7"/>
        <v>2031</v>
      </c>
    </row>
    <row r="72" spans="1:24" s="80" customFormat="1" ht="11.25" outlineLevel="1">
      <c r="A72" s="507" t="s">
        <v>1</v>
      </c>
      <c r="B72" s="507"/>
      <c r="C72" s="567"/>
      <c r="D72" s="507"/>
      <c r="E72" s="507">
        <f>E19</f>
        <v>1</v>
      </c>
      <c r="F72" s="507">
        <f aca="true" t="shared" si="8" ref="F72:X72">F19</f>
        <v>2</v>
      </c>
      <c r="G72" s="507">
        <f t="shared" si="8"/>
        <v>3</v>
      </c>
      <c r="H72" s="507">
        <f t="shared" si="8"/>
        <v>4</v>
      </c>
      <c r="I72" s="507">
        <f t="shared" si="8"/>
        <v>5</v>
      </c>
      <c r="J72" s="507">
        <f t="shared" si="8"/>
        <v>6</v>
      </c>
      <c r="K72" s="507">
        <f t="shared" si="8"/>
        <v>7</v>
      </c>
      <c r="L72" s="507">
        <f t="shared" si="8"/>
        <v>8</v>
      </c>
      <c r="M72" s="507">
        <f t="shared" si="8"/>
        <v>9</v>
      </c>
      <c r="N72" s="507">
        <f t="shared" si="8"/>
        <v>10</v>
      </c>
      <c r="O72" s="507">
        <f t="shared" si="8"/>
        <v>11</v>
      </c>
      <c r="P72" s="507">
        <f t="shared" si="8"/>
        <v>12</v>
      </c>
      <c r="Q72" s="507">
        <f t="shared" si="8"/>
        <v>13</v>
      </c>
      <c r="R72" s="507">
        <f t="shared" si="8"/>
        <v>14</v>
      </c>
      <c r="S72" s="507">
        <f t="shared" si="8"/>
        <v>15</v>
      </c>
      <c r="T72" s="507">
        <f t="shared" si="8"/>
        <v>16</v>
      </c>
      <c r="U72" s="507">
        <f t="shared" si="8"/>
        <v>17</v>
      </c>
      <c r="V72" s="507">
        <f t="shared" si="8"/>
        <v>18</v>
      </c>
      <c r="W72" s="507">
        <f t="shared" si="8"/>
        <v>19</v>
      </c>
      <c r="X72" s="507">
        <f t="shared" si="8"/>
        <v>20</v>
      </c>
    </row>
    <row r="73" spans="1:24" s="80" customFormat="1" ht="11.25" outlineLevel="1">
      <c r="A73" s="532" t="s">
        <v>217</v>
      </c>
      <c r="B73" s="537">
        <v>68</v>
      </c>
      <c r="E73" s="537">
        <f>B73</f>
        <v>68</v>
      </c>
      <c r="F73" s="537">
        <f>E73</f>
        <v>68</v>
      </c>
      <c r="G73" s="537">
        <f>F73</f>
        <v>68</v>
      </c>
      <c r="H73" s="537">
        <f>ROUNDDOWN(G73*(1+$B$74),0)</f>
        <v>71</v>
      </c>
      <c r="I73" s="537">
        <f>ROUNDDOWN(H73*(1+$B$74),0)</f>
        <v>74</v>
      </c>
      <c r="J73" s="537">
        <f>ROUNDDOWN(I73*(1+$B$74),0)</f>
        <v>77</v>
      </c>
      <c r="K73" s="537">
        <f>ROUNDDOWN(J73*(1+$B$74),0)</f>
        <v>80</v>
      </c>
      <c r="L73" s="537">
        <v>90</v>
      </c>
      <c r="M73" s="537">
        <v>90</v>
      </c>
      <c r="N73" s="537">
        <v>90</v>
      </c>
      <c r="O73" s="537">
        <v>100</v>
      </c>
      <c r="P73" s="537">
        <v>100</v>
      </c>
      <c r="Q73" s="539">
        <v>100</v>
      </c>
      <c r="R73" s="539">
        <v>120</v>
      </c>
      <c r="S73" s="539">
        <f aca="true" t="shared" si="9" ref="S73:X73">R73</f>
        <v>120</v>
      </c>
      <c r="T73" s="539">
        <f t="shared" si="9"/>
        <v>120</v>
      </c>
      <c r="U73" s="539">
        <v>120</v>
      </c>
      <c r="V73" s="539">
        <f t="shared" si="9"/>
        <v>120</v>
      </c>
      <c r="W73" s="539">
        <f t="shared" si="9"/>
        <v>120</v>
      </c>
      <c r="X73" s="539">
        <f t="shared" si="9"/>
        <v>120</v>
      </c>
    </row>
    <row r="74" spans="1:24" s="80" customFormat="1" ht="11.25" outlineLevel="1">
      <c r="A74" s="532" t="s">
        <v>456</v>
      </c>
      <c r="B74" s="540">
        <v>0.05</v>
      </c>
      <c r="E74" s="537"/>
      <c r="F74" s="537"/>
      <c r="G74" s="537"/>
      <c r="H74" s="537"/>
      <c r="I74" s="537"/>
      <c r="J74" s="537"/>
      <c r="K74" s="538"/>
      <c r="L74" s="538"/>
      <c r="M74" s="538"/>
      <c r="N74" s="538"/>
      <c r="O74" s="538"/>
      <c r="P74" s="538"/>
      <c r="Q74" s="538"/>
      <c r="R74" s="538"/>
      <c r="S74" s="538"/>
      <c r="T74" s="538"/>
      <c r="U74" s="538"/>
      <c r="V74" s="538"/>
      <c r="W74" s="538"/>
      <c r="X74" s="538"/>
    </row>
    <row r="75" spans="1:24" s="80" customFormat="1" ht="11.25" outlineLevel="1">
      <c r="A75" s="532" t="s">
        <v>218</v>
      </c>
      <c r="B75" s="537">
        <v>7</v>
      </c>
      <c r="E75" s="537"/>
      <c r="F75" s="537"/>
      <c r="G75" s="537"/>
      <c r="H75" s="537"/>
      <c r="I75" s="537"/>
      <c r="J75" s="537"/>
      <c r="K75" s="538"/>
      <c r="L75" s="538"/>
      <c r="M75" s="538"/>
      <c r="N75" s="538"/>
      <c r="O75" s="538"/>
      <c r="P75" s="538"/>
      <c r="Q75" s="538"/>
      <c r="R75" s="538"/>
      <c r="S75" s="538"/>
      <c r="T75" s="538"/>
      <c r="U75" s="538"/>
      <c r="V75" s="538"/>
      <c r="W75" s="538"/>
      <c r="X75" s="538"/>
    </row>
    <row r="76" spans="1:24" s="80" customFormat="1" ht="11.25" outlineLevel="1">
      <c r="A76" s="520"/>
      <c r="B76" s="520"/>
      <c r="D76" s="531"/>
      <c r="E76" s="537"/>
      <c r="F76" s="537"/>
      <c r="G76" s="537"/>
      <c r="H76" s="537"/>
      <c r="I76" s="537"/>
      <c r="J76" s="537"/>
      <c r="K76" s="538"/>
      <c r="L76" s="538"/>
      <c r="M76" s="538"/>
      <c r="N76" s="538"/>
      <c r="O76" s="538"/>
      <c r="P76" s="538"/>
      <c r="Q76" s="538"/>
      <c r="R76" s="538"/>
      <c r="S76" s="538"/>
      <c r="T76" s="538"/>
      <c r="U76" s="538"/>
      <c r="V76" s="538"/>
      <c r="W76" s="538"/>
      <c r="X76" s="538"/>
    </row>
    <row r="77" spans="1:24" s="80" customFormat="1" ht="11.25" outlineLevel="1">
      <c r="A77" s="532" t="s">
        <v>219</v>
      </c>
      <c r="B77" s="520"/>
      <c r="E77" s="537"/>
      <c r="F77" s="537"/>
      <c r="G77" s="537"/>
      <c r="H77" s="537"/>
      <c r="I77" s="537"/>
      <c r="J77" s="537"/>
      <c r="K77" s="538"/>
      <c r="L77" s="538"/>
      <c r="M77" s="538"/>
      <c r="N77" s="538"/>
      <c r="O77" s="538"/>
      <c r="P77" s="538"/>
      <c r="Q77" s="538"/>
      <c r="R77" s="538"/>
      <c r="S77" s="538"/>
      <c r="T77" s="538"/>
      <c r="U77" s="538"/>
      <c r="V77" s="538"/>
      <c r="W77" s="538"/>
      <c r="X77" s="538"/>
    </row>
    <row r="78" spans="1:24" s="80" customFormat="1" ht="11.25" outlineLevel="1">
      <c r="A78" s="520" t="s">
        <v>220</v>
      </c>
      <c r="B78" s="541">
        <v>0.966</v>
      </c>
      <c r="E78" s="537"/>
      <c r="F78" s="537"/>
      <c r="G78" s="537"/>
      <c r="H78" s="537"/>
      <c r="I78" s="537"/>
      <c r="J78" s="537"/>
      <c r="K78" s="538"/>
      <c r="L78" s="538"/>
      <c r="M78" s="538"/>
      <c r="N78" s="538"/>
      <c r="O78" s="538"/>
      <c r="P78" s="538"/>
      <c r="Q78" s="538"/>
      <c r="R78" s="538"/>
      <c r="S78" s="538"/>
      <c r="T78" s="538"/>
      <c r="U78" s="538"/>
      <c r="V78" s="538"/>
      <c r="W78" s="538"/>
      <c r="X78" s="538"/>
    </row>
    <row r="79" spans="1:24" s="80" customFormat="1" ht="11.25" outlineLevel="1">
      <c r="A79" s="520" t="s">
        <v>221</v>
      </c>
      <c r="B79" s="541">
        <f>100%-B78</f>
        <v>0.03400000000000003</v>
      </c>
      <c r="E79" s="537"/>
      <c r="F79" s="537"/>
      <c r="G79" s="537"/>
      <c r="H79" s="537"/>
      <c r="I79" s="537"/>
      <c r="J79" s="537"/>
      <c r="K79" s="538"/>
      <c r="L79" s="538"/>
      <c r="M79" s="538"/>
      <c r="N79" s="538"/>
      <c r="O79" s="538"/>
      <c r="P79" s="538"/>
      <c r="Q79" s="538"/>
      <c r="R79" s="538"/>
      <c r="S79" s="538"/>
      <c r="T79" s="538"/>
      <c r="U79" s="538"/>
      <c r="V79" s="538"/>
      <c r="W79" s="538"/>
      <c r="X79" s="538"/>
    </row>
    <row r="80" spans="1:24" s="80" customFormat="1" ht="11.25" outlineLevel="1">
      <c r="A80" s="520"/>
      <c r="B80" s="542"/>
      <c r="E80" s="537"/>
      <c r="F80" s="537"/>
      <c r="G80" s="537"/>
      <c r="H80" s="537"/>
      <c r="I80" s="537"/>
      <c r="J80" s="537"/>
      <c r="K80" s="538"/>
      <c r="L80" s="538"/>
      <c r="M80" s="538"/>
      <c r="N80" s="538"/>
      <c r="O80" s="538"/>
      <c r="P80" s="538"/>
      <c r="Q80" s="538"/>
      <c r="R80" s="538"/>
      <c r="S80" s="538"/>
      <c r="T80" s="538"/>
      <c r="U80" s="538"/>
      <c r="V80" s="538"/>
      <c r="W80" s="538"/>
      <c r="X80" s="538"/>
    </row>
    <row r="81" spans="1:24" s="80" customFormat="1" ht="11.25" outlineLevel="1">
      <c r="A81" s="532" t="s">
        <v>207</v>
      </c>
      <c r="B81" s="520"/>
      <c r="C81" s="53"/>
      <c r="D81" s="53"/>
      <c r="E81" s="538">
        <v>0.6</v>
      </c>
      <c r="F81" s="521">
        <v>0.65</v>
      </c>
      <c r="G81" s="521">
        <v>0.7</v>
      </c>
      <c r="H81" s="521">
        <v>0.75</v>
      </c>
      <c r="I81" s="538">
        <v>0.8</v>
      </c>
      <c r="J81" s="521">
        <f aca="true" t="shared" si="10" ref="J81:X81">I81</f>
        <v>0.8</v>
      </c>
      <c r="K81" s="521">
        <f t="shared" si="10"/>
        <v>0.8</v>
      </c>
      <c r="L81" s="521">
        <f t="shared" si="10"/>
        <v>0.8</v>
      </c>
      <c r="M81" s="521">
        <v>0.9</v>
      </c>
      <c r="N81" s="521">
        <f t="shared" si="10"/>
        <v>0.9</v>
      </c>
      <c r="O81" s="521">
        <f t="shared" si="10"/>
        <v>0.9</v>
      </c>
      <c r="P81" s="521">
        <f t="shared" si="10"/>
        <v>0.9</v>
      </c>
      <c r="Q81" s="521">
        <f t="shared" si="10"/>
        <v>0.9</v>
      </c>
      <c r="R81" s="521">
        <f t="shared" si="10"/>
        <v>0.9</v>
      </c>
      <c r="S81" s="521">
        <f t="shared" si="10"/>
        <v>0.9</v>
      </c>
      <c r="T81" s="521">
        <f t="shared" si="10"/>
        <v>0.9</v>
      </c>
      <c r="U81" s="521">
        <f t="shared" si="10"/>
        <v>0.9</v>
      </c>
      <c r="V81" s="521">
        <f t="shared" si="10"/>
        <v>0.9</v>
      </c>
      <c r="W81" s="521">
        <f t="shared" si="10"/>
        <v>0.9</v>
      </c>
      <c r="X81" s="521">
        <f t="shared" si="10"/>
        <v>0.9</v>
      </c>
    </row>
    <row r="82" spans="1:24" ht="11.25" outlineLevel="1">
      <c r="A82" s="520"/>
      <c r="B82" s="542"/>
      <c r="C82" s="80"/>
      <c r="D82" s="80"/>
      <c r="E82" s="537"/>
      <c r="F82" s="537"/>
      <c r="G82" s="537"/>
      <c r="H82" s="537"/>
      <c r="I82" s="537"/>
      <c r="J82" s="537"/>
      <c r="K82" s="538"/>
      <c r="L82" s="538"/>
      <c r="M82" s="538"/>
      <c r="N82" s="538"/>
      <c r="O82" s="538"/>
      <c r="P82" s="538"/>
      <c r="Q82" s="538"/>
      <c r="R82" s="538"/>
      <c r="S82" s="538"/>
      <c r="T82" s="538"/>
      <c r="U82" s="538"/>
      <c r="V82" s="538"/>
      <c r="W82" s="538"/>
      <c r="X82" s="538"/>
    </row>
    <row r="83" spans="1:24" ht="11.25" outlineLevel="1">
      <c r="A83" s="520"/>
      <c r="B83" s="542"/>
      <c r="C83" s="80"/>
      <c r="D83" s="80"/>
      <c r="E83" s="537"/>
      <c r="F83" s="537"/>
      <c r="G83" s="537"/>
      <c r="H83" s="537"/>
      <c r="I83" s="537"/>
      <c r="J83" s="537"/>
      <c r="K83" s="538"/>
      <c r="L83" s="538"/>
      <c r="M83" s="538"/>
      <c r="N83" s="538"/>
      <c r="O83" s="538"/>
      <c r="P83" s="538"/>
      <c r="Q83" s="538"/>
      <c r="R83" s="538"/>
      <c r="S83" s="538"/>
      <c r="T83" s="538"/>
      <c r="U83" s="538"/>
      <c r="V83" s="538"/>
      <c r="W83" s="538"/>
      <c r="X83" s="538"/>
    </row>
    <row r="84" spans="1:24" ht="11.25" outlineLevel="2">
      <c r="A84" s="522"/>
      <c r="B84" s="520"/>
      <c r="C84" s="520"/>
      <c r="D84" s="521"/>
      <c r="H84" s="520"/>
      <c r="I84" s="520"/>
      <c r="J84" s="520"/>
      <c r="K84" s="520"/>
      <c r="L84" s="520"/>
      <c r="M84" s="520"/>
      <c r="N84" s="520"/>
      <c r="O84" s="520"/>
      <c r="P84" s="520"/>
      <c r="Q84" s="520"/>
      <c r="R84" s="520"/>
      <c r="S84" s="520"/>
      <c r="T84" s="520"/>
      <c r="U84" s="520"/>
      <c r="V84" s="520"/>
      <c r="W84" s="520"/>
      <c r="X84" s="520"/>
    </row>
    <row r="85" spans="1:24" ht="11.25" outlineLevel="2">
      <c r="A85" s="506" t="s">
        <v>198</v>
      </c>
      <c r="B85" s="507"/>
      <c r="C85" s="567"/>
      <c r="D85" s="507"/>
      <c r="E85" s="507">
        <f>E32</f>
        <v>2012</v>
      </c>
      <c r="F85" s="507">
        <f>F32</f>
        <v>2013</v>
      </c>
      <c r="G85" s="507">
        <f>G32</f>
        <v>2014</v>
      </c>
      <c r="H85" s="507">
        <f>H32</f>
        <v>2015</v>
      </c>
      <c r="I85" s="507">
        <f aca="true" t="shared" si="11" ref="I85:X85">I32</f>
        <v>2016</v>
      </c>
      <c r="J85" s="507">
        <f t="shared" si="11"/>
        <v>2017</v>
      </c>
      <c r="K85" s="507">
        <f t="shared" si="11"/>
        <v>2018</v>
      </c>
      <c r="L85" s="507">
        <f t="shared" si="11"/>
        <v>2019</v>
      </c>
      <c r="M85" s="507">
        <f t="shared" si="11"/>
        <v>2020</v>
      </c>
      <c r="N85" s="507">
        <f t="shared" si="11"/>
        <v>2021</v>
      </c>
      <c r="O85" s="507">
        <f t="shared" si="11"/>
        <v>2022</v>
      </c>
      <c r="P85" s="507">
        <f t="shared" si="11"/>
        <v>2023</v>
      </c>
      <c r="Q85" s="507">
        <f t="shared" si="11"/>
        <v>2024</v>
      </c>
      <c r="R85" s="507">
        <f t="shared" si="11"/>
        <v>2025</v>
      </c>
      <c r="S85" s="507">
        <f t="shared" si="11"/>
        <v>2026</v>
      </c>
      <c r="T85" s="507">
        <f t="shared" si="11"/>
        <v>2027</v>
      </c>
      <c r="U85" s="507">
        <f t="shared" si="11"/>
        <v>2028</v>
      </c>
      <c r="V85" s="507">
        <f t="shared" si="11"/>
        <v>2029</v>
      </c>
      <c r="W85" s="507">
        <f t="shared" si="11"/>
        <v>2030</v>
      </c>
      <c r="X85" s="507">
        <f t="shared" si="11"/>
        <v>2031</v>
      </c>
    </row>
    <row r="86" spans="1:24" ht="11.25" outlineLevel="2">
      <c r="A86" s="507" t="s">
        <v>1</v>
      </c>
      <c r="B86" s="507"/>
      <c r="C86" s="567"/>
      <c r="D86" s="507"/>
      <c r="E86" s="507">
        <f>E33</f>
        <v>1</v>
      </c>
      <c r="F86" s="507">
        <f aca="true" t="shared" si="12" ref="F86:X86">F33</f>
        <v>2</v>
      </c>
      <c r="G86" s="507">
        <f t="shared" si="12"/>
        <v>3</v>
      </c>
      <c r="H86" s="507">
        <f t="shared" si="12"/>
        <v>4</v>
      </c>
      <c r="I86" s="507">
        <f t="shared" si="12"/>
        <v>5</v>
      </c>
      <c r="J86" s="507">
        <f t="shared" si="12"/>
        <v>6</v>
      </c>
      <c r="K86" s="507">
        <f t="shared" si="12"/>
        <v>7</v>
      </c>
      <c r="L86" s="507">
        <f t="shared" si="12"/>
        <v>8</v>
      </c>
      <c r="M86" s="507">
        <f t="shared" si="12"/>
        <v>9</v>
      </c>
      <c r="N86" s="507">
        <f t="shared" si="12"/>
        <v>10</v>
      </c>
      <c r="O86" s="507">
        <f t="shared" si="12"/>
        <v>11</v>
      </c>
      <c r="P86" s="507">
        <f t="shared" si="12"/>
        <v>12</v>
      </c>
      <c r="Q86" s="507">
        <f t="shared" si="12"/>
        <v>13</v>
      </c>
      <c r="R86" s="507">
        <f t="shared" si="12"/>
        <v>14</v>
      </c>
      <c r="S86" s="507">
        <f t="shared" si="12"/>
        <v>15</v>
      </c>
      <c r="T86" s="507">
        <f t="shared" si="12"/>
        <v>16</v>
      </c>
      <c r="U86" s="507">
        <f t="shared" si="12"/>
        <v>17</v>
      </c>
      <c r="V86" s="507">
        <f t="shared" si="12"/>
        <v>18</v>
      </c>
      <c r="W86" s="507">
        <f t="shared" si="12"/>
        <v>19</v>
      </c>
      <c r="X86" s="507">
        <f t="shared" si="12"/>
        <v>20</v>
      </c>
    </row>
    <row r="87" spans="1:4" ht="11.25" outlineLevel="2">
      <c r="A87" s="520"/>
      <c r="B87" s="520"/>
      <c r="C87" s="520"/>
      <c r="D87" s="521"/>
    </row>
    <row r="88" spans="1:4" ht="11.25" outlineLevel="2">
      <c r="A88" s="532" t="s">
        <v>195</v>
      </c>
      <c r="B88" s="520"/>
      <c r="C88" s="520"/>
      <c r="D88" s="521"/>
    </row>
    <row r="89" spans="1:24" ht="11.25" outlineLevel="2">
      <c r="A89" s="529" t="s">
        <v>194</v>
      </c>
      <c r="B89" s="520"/>
      <c r="C89" s="523"/>
      <c r="D89" s="521"/>
      <c r="E89" s="543">
        <v>7500</v>
      </c>
      <c r="F89" s="543">
        <v>25000</v>
      </c>
      <c r="G89" s="543">
        <v>17500</v>
      </c>
      <c r="H89" s="543">
        <f>H68-C68-E89-F89-G89</f>
        <v>39677.96707280257</v>
      </c>
      <c r="I89" s="543">
        <f>I68-H68</f>
        <v>5161.3052264708385</v>
      </c>
      <c r="J89" s="543">
        <f>J68-I68</f>
        <v>5301.748906102701</v>
      </c>
      <c r="K89" s="543">
        <f aca="true" t="shared" si="13" ref="K89:X89">K68-J68</f>
        <v>5446.014182459214</v>
      </c>
      <c r="L89" s="543">
        <f t="shared" si="13"/>
        <v>5594.205044566945</v>
      </c>
      <c r="M89" s="543">
        <f t="shared" si="13"/>
        <v>5746.428311085794</v>
      </c>
      <c r="N89" s="543">
        <f t="shared" si="13"/>
        <v>5902.793707305798</v>
      </c>
      <c r="O89" s="543">
        <f t="shared" si="13"/>
        <v>6063.413944239292</v>
      </c>
      <c r="P89" s="543">
        <f t="shared" si="13"/>
        <v>6228.40479986486</v>
      </c>
      <c r="Q89" s="543">
        <f t="shared" si="13"/>
        <v>6397.885202582285</v>
      </c>
      <c r="R89" s="543">
        <f t="shared" si="13"/>
        <v>6571.9773169382825</v>
      </c>
      <c r="S89" s="543">
        <f t="shared" si="13"/>
        <v>6750.806631684856</v>
      </c>
      <c r="T89" s="543">
        <f t="shared" si="13"/>
        <v>6934.502050234121</v>
      </c>
      <c r="U89" s="543">
        <f t="shared" si="13"/>
        <v>7123.1959835738235</v>
      </c>
      <c r="V89" s="543">
        <f t="shared" si="13"/>
        <v>7317.024445711926</v>
      </c>
      <c r="W89" s="543">
        <f t="shared" si="13"/>
        <v>7516.1271517176065</v>
      </c>
      <c r="X89" s="543">
        <f t="shared" si="13"/>
        <v>7720.647618431074</v>
      </c>
    </row>
    <row r="90" spans="1:7" ht="11.25" outlineLevel="2">
      <c r="A90" s="544"/>
      <c r="B90" s="520"/>
      <c r="C90" s="523"/>
      <c r="D90" s="521"/>
      <c r="E90" s="527"/>
      <c r="F90" s="527"/>
      <c r="G90" s="527"/>
    </row>
    <row r="91" spans="1:7" ht="11.25" outlineLevel="2">
      <c r="A91" s="529" t="s">
        <v>196</v>
      </c>
      <c r="B91" s="520"/>
      <c r="C91" s="523"/>
      <c r="D91" s="521"/>
      <c r="E91" s="527"/>
      <c r="F91" s="527"/>
      <c r="G91" s="527"/>
    </row>
    <row r="92" spans="1:24" ht="11.25" outlineLevel="1">
      <c r="A92" s="544" t="s">
        <v>197</v>
      </c>
      <c r="B92" s="538">
        <v>0.05</v>
      </c>
      <c r="C92" s="523"/>
      <c r="D92" s="521"/>
      <c r="E92" s="527">
        <f>1125+150</f>
        <v>1275</v>
      </c>
      <c r="F92" s="543">
        <f>E92*(1+$B$92)</f>
        <v>1338.75</v>
      </c>
      <c r="G92" s="543">
        <f aca="true" t="shared" si="14" ref="G92:X92">F92*(1+$B$92)</f>
        <v>1405.6875</v>
      </c>
      <c r="H92" s="543">
        <f t="shared" si="14"/>
        <v>1475.971875</v>
      </c>
      <c r="I92" s="543">
        <f t="shared" si="14"/>
        <v>1549.77046875</v>
      </c>
      <c r="J92" s="543">
        <f t="shared" si="14"/>
        <v>1627.2589921875</v>
      </c>
      <c r="K92" s="543">
        <f t="shared" si="14"/>
        <v>1708.6219417968753</v>
      </c>
      <c r="L92" s="543">
        <f t="shared" si="14"/>
        <v>1794.0530388867192</v>
      </c>
      <c r="M92" s="543">
        <f t="shared" si="14"/>
        <v>1883.7556908310553</v>
      </c>
      <c r="N92" s="543">
        <f t="shared" si="14"/>
        <v>1977.9434753726082</v>
      </c>
      <c r="O92" s="543">
        <f t="shared" si="14"/>
        <v>2076.840649141239</v>
      </c>
      <c r="P92" s="543">
        <f t="shared" si="14"/>
        <v>2180.682681598301</v>
      </c>
      <c r="Q92" s="543">
        <f t="shared" si="14"/>
        <v>2289.716815678216</v>
      </c>
      <c r="R92" s="543">
        <f t="shared" si="14"/>
        <v>2404.202656462127</v>
      </c>
      <c r="S92" s="543">
        <f t="shared" si="14"/>
        <v>2524.4127892852334</v>
      </c>
      <c r="T92" s="543">
        <f t="shared" si="14"/>
        <v>2650.633428749495</v>
      </c>
      <c r="U92" s="543">
        <f t="shared" si="14"/>
        <v>2783.16510018697</v>
      </c>
      <c r="V92" s="543">
        <f t="shared" si="14"/>
        <v>2922.3233551963185</v>
      </c>
      <c r="W92" s="543">
        <f t="shared" si="14"/>
        <v>3068.4395229561346</v>
      </c>
      <c r="X92" s="543">
        <f t="shared" si="14"/>
        <v>3221.8614991039417</v>
      </c>
    </row>
    <row r="93" spans="1:4" ht="11.25" outlineLevel="1">
      <c r="A93" s="520"/>
      <c r="B93" s="520"/>
      <c r="C93" s="520"/>
      <c r="D93" s="521"/>
    </row>
    <row r="94" spans="1:4" ht="11.25" outlineLevel="1">
      <c r="A94" s="520"/>
      <c r="B94" s="520"/>
      <c r="C94" s="520"/>
      <c r="D94" s="521"/>
    </row>
    <row r="95" spans="1:7" ht="11.25" outlineLevel="1">
      <c r="A95" s="522"/>
      <c r="B95" s="520"/>
      <c r="C95" s="523"/>
      <c r="D95" s="521"/>
      <c r="E95" s="527"/>
      <c r="F95" s="527"/>
      <c r="G95" s="527"/>
    </row>
    <row r="96" spans="1:24" ht="11.25" outlineLevel="1">
      <c r="A96" s="506" t="s">
        <v>199</v>
      </c>
      <c r="B96" s="507"/>
      <c r="C96" s="567"/>
      <c r="D96" s="507"/>
      <c r="E96" s="507">
        <f>E85</f>
        <v>2012</v>
      </c>
      <c r="F96" s="507">
        <f>F85</f>
        <v>2013</v>
      </c>
      <c r="G96" s="507">
        <f>G85</f>
        <v>2014</v>
      </c>
      <c r="H96" s="507">
        <f>H85</f>
        <v>2015</v>
      </c>
      <c r="I96" s="507">
        <f aca="true" t="shared" si="15" ref="I96:X96">I85</f>
        <v>2016</v>
      </c>
      <c r="J96" s="507">
        <f t="shared" si="15"/>
        <v>2017</v>
      </c>
      <c r="K96" s="507">
        <f t="shared" si="15"/>
        <v>2018</v>
      </c>
      <c r="L96" s="507">
        <f t="shared" si="15"/>
        <v>2019</v>
      </c>
      <c r="M96" s="507">
        <f t="shared" si="15"/>
        <v>2020</v>
      </c>
      <c r="N96" s="507">
        <f t="shared" si="15"/>
        <v>2021</v>
      </c>
      <c r="O96" s="507">
        <f t="shared" si="15"/>
        <v>2022</v>
      </c>
      <c r="P96" s="507">
        <f t="shared" si="15"/>
        <v>2023</v>
      </c>
      <c r="Q96" s="507">
        <f t="shared" si="15"/>
        <v>2024</v>
      </c>
      <c r="R96" s="507">
        <f t="shared" si="15"/>
        <v>2025</v>
      </c>
      <c r="S96" s="507">
        <f t="shared" si="15"/>
        <v>2026</v>
      </c>
      <c r="T96" s="507">
        <f t="shared" si="15"/>
        <v>2027</v>
      </c>
      <c r="U96" s="507">
        <f t="shared" si="15"/>
        <v>2028</v>
      </c>
      <c r="V96" s="507">
        <f t="shared" si="15"/>
        <v>2029</v>
      </c>
      <c r="W96" s="507">
        <f t="shared" si="15"/>
        <v>2030</v>
      </c>
      <c r="X96" s="507">
        <f t="shared" si="15"/>
        <v>2031</v>
      </c>
    </row>
    <row r="97" spans="1:24" ht="11.25" outlineLevel="1">
      <c r="A97" s="507" t="s">
        <v>1</v>
      </c>
      <c r="B97" s="507"/>
      <c r="C97" s="567"/>
      <c r="D97" s="507"/>
      <c r="E97" s="507">
        <f>E86</f>
        <v>1</v>
      </c>
      <c r="F97" s="507">
        <f aca="true" t="shared" si="16" ref="F97:X97">F86</f>
        <v>2</v>
      </c>
      <c r="G97" s="507">
        <f t="shared" si="16"/>
        <v>3</v>
      </c>
      <c r="H97" s="507">
        <f t="shared" si="16"/>
        <v>4</v>
      </c>
      <c r="I97" s="507">
        <f t="shared" si="16"/>
        <v>5</v>
      </c>
      <c r="J97" s="507">
        <f t="shared" si="16"/>
        <v>6</v>
      </c>
      <c r="K97" s="507">
        <f t="shared" si="16"/>
        <v>7</v>
      </c>
      <c r="L97" s="507">
        <f t="shared" si="16"/>
        <v>8</v>
      </c>
      <c r="M97" s="507">
        <f t="shared" si="16"/>
        <v>9</v>
      </c>
      <c r="N97" s="507">
        <f t="shared" si="16"/>
        <v>10</v>
      </c>
      <c r="O97" s="507">
        <f t="shared" si="16"/>
        <v>11</v>
      </c>
      <c r="P97" s="507">
        <f t="shared" si="16"/>
        <v>12</v>
      </c>
      <c r="Q97" s="507">
        <f t="shared" si="16"/>
        <v>13</v>
      </c>
      <c r="R97" s="507">
        <f t="shared" si="16"/>
        <v>14</v>
      </c>
      <c r="S97" s="507">
        <f t="shared" si="16"/>
        <v>15</v>
      </c>
      <c r="T97" s="507">
        <f t="shared" si="16"/>
        <v>16</v>
      </c>
      <c r="U97" s="507">
        <f t="shared" si="16"/>
        <v>17</v>
      </c>
      <c r="V97" s="507">
        <f t="shared" si="16"/>
        <v>18</v>
      </c>
      <c r="W97" s="507">
        <f t="shared" si="16"/>
        <v>19</v>
      </c>
      <c r="X97" s="507">
        <f t="shared" si="16"/>
        <v>20</v>
      </c>
    </row>
    <row r="98" spans="1:7" ht="11.25" outlineLevel="1">
      <c r="A98" s="522"/>
      <c r="B98" s="520"/>
      <c r="C98" s="523"/>
      <c r="D98" s="521"/>
      <c r="E98" s="527"/>
      <c r="F98" s="527"/>
      <c r="G98" s="527"/>
    </row>
    <row r="99" spans="1:8" ht="11.25" outlineLevel="1">
      <c r="A99" s="545" t="s">
        <v>200</v>
      </c>
      <c r="B99" s="538">
        <v>0.05</v>
      </c>
      <c r="C99" s="523"/>
      <c r="D99" s="521"/>
      <c r="E99" s="527"/>
      <c r="F99" s="527">
        <f>E99*(1+$B$99)</f>
        <v>0</v>
      </c>
      <c r="G99" s="527">
        <f>F99*(1+$B$99)</f>
        <v>0</v>
      </c>
      <c r="H99" s="527"/>
    </row>
    <row r="100" spans="1:7" ht="11.25" outlineLevel="1">
      <c r="A100" s="545" t="s">
        <v>201</v>
      </c>
      <c r="B100" s="538">
        <v>0.05</v>
      </c>
      <c r="C100" s="523"/>
      <c r="D100" s="521"/>
      <c r="E100" s="527">
        <v>0</v>
      </c>
      <c r="F100" s="527">
        <f>E100*(1+$B$100)</f>
        <v>0</v>
      </c>
      <c r="G100" s="527">
        <f>F100*(1+$B$100)</f>
        <v>0</v>
      </c>
    </row>
    <row r="101" spans="1:7" ht="11.25" outlineLevel="1">
      <c r="A101" s="522"/>
      <c r="B101" s="520"/>
      <c r="C101" s="523"/>
      <c r="D101" s="521"/>
      <c r="E101" s="527"/>
      <c r="F101" s="527"/>
      <c r="G101" s="527"/>
    </row>
    <row r="102" spans="1:7" ht="11.25">
      <c r="A102" s="506" t="s">
        <v>452</v>
      </c>
      <c r="B102" s="507">
        <v>5</v>
      </c>
      <c r="C102" s="523"/>
      <c r="D102" s="521"/>
      <c r="E102" s="527"/>
      <c r="F102" s="527"/>
      <c r="G102" s="527"/>
    </row>
    <row r="103" spans="1:7" ht="11.25">
      <c r="A103" s="507" t="s">
        <v>453</v>
      </c>
      <c r="B103" s="546">
        <v>0.06</v>
      </c>
      <c r="C103" s="523"/>
      <c r="D103" s="521"/>
      <c r="E103" s="527"/>
      <c r="F103" s="527"/>
      <c r="G103" s="527"/>
    </row>
    <row r="104" ht="11.25" outlineLevel="1"/>
    <row r="105" spans="1:2" ht="11.25" outlineLevel="1">
      <c r="A105" s="506" t="s">
        <v>2</v>
      </c>
      <c r="B105" s="506"/>
    </row>
    <row r="106" ht="11.25" outlineLevel="1"/>
    <row r="107" spans="1:4" ht="11.25" outlineLevel="1">
      <c r="A107" s="507"/>
      <c r="B107" s="507"/>
      <c r="C107" s="507"/>
      <c r="D107" s="507"/>
    </row>
    <row r="108" spans="1:4" ht="11.25" outlineLevel="1">
      <c r="A108" s="507"/>
      <c r="B108" s="507"/>
      <c r="C108" s="507"/>
      <c r="D108" s="547"/>
    </row>
    <row r="109" spans="1:2" ht="11.25" outlineLevel="1">
      <c r="A109" s="548"/>
      <c r="B109" s="548"/>
    </row>
    <row r="110" spans="1:4" ht="11.25" outlineLevel="1">
      <c r="A110" s="548" t="s">
        <v>465</v>
      </c>
      <c r="B110" s="548"/>
      <c r="D110" s="549">
        <v>592.2665181966365</v>
      </c>
    </row>
    <row r="111" spans="1:4" ht="11.25" outlineLevel="1">
      <c r="A111" s="550" t="s">
        <v>5</v>
      </c>
      <c r="B111" s="550"/>
      <c r="D111" s="551">
        <v>0.13</v>
      </c>
    </row>
    <row r="112" spans="1:4" ht="11.25" outlineLevel="1">
      <c r="A112" s="550" t="s">
        <v>244</v>
      </c>
      <c r="B112" s="550"/>
      <c r="D112" s="551">
        <v>0.9076349420076822</v>
      </c>
    </row>
    <row r="113" spans="1:4" ht="11.25" outlineLevel="1">
      <c r="A113" s="550" t="s">
        <v>245</v>
      </c>
      <c r="B113" s="550"/>
      <c r="D113" s="551">
        <v>0.09236505799231783</v>
      </c>
    </row>
    <row r="114" spans="1:5" ht="11.25" outlineLevel="1">
      <c r="A114" s="550" t="s">
        <v>246</v>
      </c>
      <c r="B114" s="550"/>
      <c r="D114" s="552" t="s">
        <v>3</v>
      </c>
      <c r="E114" s="553" t="s">
        <v>4</v>
      </c>
    </row>
    <row r="115" spans="1:5" ht="11.25" outlineLevel="1">
      <c r="A115" s="550" t="s">
        <v>247</v>
      </c>
      <c r="B115" s="550"/>
      <c r="D115" s="551">
        <v>0.49754529259940333</v>
      </c>
      <c r="E115" s="551">
        <v>0.1458377227677439</v>
      </c>
    </row>
    <row r="116" spans="1:5" ht="11.25" outlineLevel="1">
      <c r="A116" s="550" t="s">
        <v>248</v>
      </c>
      <c r="B116" s="550"/>
      <c r="D116" s="551">
        <v>0.49443227473503243</v>
      </c>
      <c r="E116" s="551">
        <v>0.39979798985623977</v>
      </c>
    </row>
    <row r="117" spans="1:5" ht="11.25" outlineLevel="1">
      <c r="A117" s="550" t="s">
        <v>249</v>
      </c>
      <c r="B117" s="550"/>
      <c r="D117" s="551">
        <v>0.008022432665564308</v>
      </c>
      <c r="E117" s="551">
        <v>0.4543642873760164</v>
      </c>
    </row>
    <row r="118" spans="1:2" ht="11.25" outlineLevel="1">
      <c r="A118" s="550"/>
      <c r="B118" s="550"/>
    </row>
    <row r="119" spans="1:2" ht="11.25">
      <c r="A119" s="550"/>
      <c r="B119" s="550"/>
    </row>
    <row r="120" spans="1:2" ht="11.25">
      <c r="A120" s="550"/>
      <c r="B120" s="550"/>
    </row>
    <row r="121" ht="11.25" outlineLevel="1"/>
    <row r="122" spans="1:2" ht="11.25" outlineLevel="1">
      <c r="A122" s="506" t="s">
        <v>118</v>
      </c>
      <c r="B122" s="506"/>
    </row>
    <row r="123" ht="11.25" outlineLevel="1"/>
    <row r="124" ht="11.25" outlineLevel="1">
      <c r="A124" s="53" t="s">
        <v>117</v>
      </c>
    </row>
    <row r="125" spans="1:2" ht="11.25">
      <c r="A125" s="550" t="s">
        <v>16</v>
      </c>
      <c r="B125" s="554">
        <v>0.65</v>
      </c>
    </row>
    <row r="126" spans="1:2" ht="11.25">
      <c r="A126" s="550" t="s">
        <v>15</v>
      </c>
      <c r="B126" s="511">
        <f>1-B125</f>
        <v>0.35</v>
      </c>
    </row>
    <row r="127" ht="11.25" outlineLevel="1"/>
    <row r="128" spans="1:2" ht="11.25" outlineLevel="1">
      <c r="A128" s="506" t="s">
        <v>7</v>
      </c>
      <c r="B128" s="506"/>
    </row>
    <row r="129" spans="1:2" ht="11.25" outlineLevel="1">
      <c r="A129" s="548" t="s">
        <v>8</v>
      </c>
      <c r="B129" s="548"/>
    </row>
    <row r="130" spans="1:3" ht="11.25" outlineLevel="1">
      <c r="A130" s="53" t="s">
        <v>9</v>
      </c>
      <c r="C130" s="555">
        <f>15%</f>
        <v>0.15</v>
      </c>
    </row>
    <row r="131" spans="1:3" ht="11.25" outlineLevel="1">
      <c r="A131" s="53" t="s">
        <v>3</v>
      </c>
      <c r="C131" s="555">
        <f>10%</f>
        <v>0.1</v>
      </c>
    </row>
    <row r="132" spans="1:4" ht="11.25" outlineLevel="1">
      <c r="A132" s="548" t="s">
        <v>10</v>
      </c>
      <c r="B132" s="548"/>
      <c r="C132" s="556"/>
      <c r="D132" s="557"/>
    </row>
    <row r="133" spans="1:4" ht="11.25" outlineLevel="1">
      <c r="A133" s="53" t="s">
        <v>11</v>
      </c>
      <c r="C133" s="558">
        <v>0.05</v>
      </c>
      <c r="D133" s="512"/>
    </row>
    <row r="134" spans="3:4" ht="11.25" outlineLevel="1">
      <c r="C134" s="558"/>
      <c r="D134" s="551"/>
    </row>
    <row r="135" spans="1:4" ht="11.25" outlineLevel="1">
      <c r="A135" s="548" t="s">
        <v>108</v>
      </c>
      <c r="C135" s="558"/>
      <c r="D135" s="551"/>
    </row>
    <row r="136" spans="1:3" ht="11.25">
      <c r="A136" s="53" t="s">
        <v>12</v>
      </c>
      <c r="C136" s="555">
        <v>0.1993</v>
      </c>
    </row>
    <row r="137" spans="1:3" ht="11.25">
      <c r="A137" s="53" t="s">
        <v>13</v>
      </c>
      <c r="C137" s="555">
        <f>33.22%</f>
        <v>0.3322</v>
      </c>
    </row>
    <row r="138" ht="11.25" outlineLevel="1">
      <c r="C138" s="555"/>
    </row>
    <row r="139" spans="1:3" ht="11.25" outlineLevel="1">
      <c r="A139" s="506" t="s">
        <v>18</v>
      </c>
      <c r="B139" s="506"/>
      <c r="C139" s="559"/>
    </row>
    <row r="140" spans="1:3" ht="11.25" outlineLevel="1">
      <c r="A140" s="53" t="s">
        <v>19</v>
      </c>
      <c r="C140" s="560">
        <v>12</v>
      </c>
    </row>
    <row r="141" spans="1:3" ht="11.25" outlineLevel="1">
      <c r="A141" s="53" t="s">
        <v>20</v>
      </c>
      <c r="C141" s="560">
        <v>3</v>
      </c>
    </row>
    <row r="142" spans="1:3" ht="11.25">
      <c r="A142" s="53" t="s">
        <v>21</v>
      </c>
      <c r="C142" s="561">
        <f>C140-C141</f>
        <v>9</v>
      </c>
    </row>
    <row r="143" spans="1:3" ht="11.25">
      <c r="A143" s="53" t="s">
        <v>22</v>
      </c>
      <c r="C143" s="555">
        <f>0.125</f>
        <v>0.125</v>
      </c>
    </row>
    <row r="144" ht="11.25" outlineLevel="1">
      <c r="C144" s="561"/>
    </row>
    <row r="145" spans="1:3" ht="11.25" outlineLevel="1">
      <c r="A145" s="506" t="s">
        <v>23</v>
      </c>
      <c r="B145" s="506"/>
      <c r="C145" s="561"/>
    </row>
    <row r="146" spans="1:3" ht="11.25" outlineLevel="1">
      <c r="A146" s="53" t="s">
        <v>24</v>
      </c>
      <c r="C146" s="562">
        <v>1.5</v>
      </c>
    </row>
    <row r="147" spans="1:3" ht="11.25" outlineLevel="1">
      <c r="A147" s="53" t="s">
        <v>25</v>
      </c>
      <c r="C147" s="562">
        <v>1</v>
      </c>
    </row>
    <row r="148" spans="1:3" ht="11.25">
      <c r="A148" s="53" t="s">
        <v>110</v>
      </c>
      <c r="C148" s="511">
        <v>0.25</v>
      </c>
    </row>
    <row r="149" spans="1:3" ht="11.25">
      <c r="A149" s="53" t="s">
        <v>22</v>
      </c>
      <c r="C149" s="555">
        <f>C143</f>
        <v>0.125</v>
      </c>
    </row>
    <row r="150" ht="11.25"/>
    <row r="151" ht="11.25"/>
    <row r="152" spans="1:24" ht="11.25">
      <c r="A152" s="506" t="s">
        <v>222</v>
      </c>
      <c r="B152" s="506"/>
      <c r="E152" s="507">
        <f>E96</f>
        <v>2012</v>
      </c>
      <c r="F152" s="507">
        <f aca="true" t="shared" si="17" ref="F152:X152">F96</f>
        <v>2013</v>
      </c>
      <c r="G152" s="507">
        <f t="shared" si="17"/>
        <v>2014</v>
      </c>
      <c r="H152" s="507">
        <f t="shared" si="17"/>
        <v>2015</v>
      </c>
      <c r="I152" s="507">
        <f t="shared" si="17"/>
        <v>2016</v>
      </c>
      <c r="J152" s="507">
        <f t="shared" si="17"/>
        <v>2017</v>
      </c>
      <c r="K152" s="507">
        <f t="shared" si="17"/>
        <v>2018</v>
      </c>
      <c r="L152" s="507">
        <f t="shared" si="17"/>
        <v>2019</v>
      </c>
      <c r="M152" s="507">
        <f t="shared" si="17"/>
        <v>2020</v>
      </c>
      <c r="N152" s="507">
        <f t="shared" si="17"/>
        <v>2021</v>
      </c>
      <c r="O152" s="507">
        <f t="shared" si="17"/>
        <v>2022</v>
      </c>
      <c r="P152" s="507">
        <f t="shared" si="17"/>
        <v>2023</v>
      </c>
      <c r="Q152" s="507">
        <f t="shared" si="17"/>
        <v>2024</v>
      </c>
      <c r="R152" s="507">
        <f t="shared" si="17"/>
        <v>2025</v>
      </c>
      <c r="S152" s="507">
        <f t="shared" si="17"/>
        <v>2026</v>
      </c>
      <c r="T152" s="507">
        <f t="shared" si="17"/>
        <v>2027</v>
      </c>
      <c r="U152" s="507">
        <f t="shared" si="17"/>
        <v>2028</v>
      </c>
      <c r="V152" s="507">
        <f t="shared" si="17"/>
        <v>2029</v>
      </c>
      <c r="W152" s="507">
        <f t="shared" si="17"/>
        <v>2030</v>
      </c>
      <c r="X152" s="507">
        <f t="shared" si="17"/>
        <v>2031</v>
      </c>
    </row>
    <row r="153" ht="11.25"/>
    <row r="154" spans="1:24" ht="11.25">
      <c r="A154" s="53" t="s">
        <v>223</v>
      </c>
      <c r="E154" s="527">
        <f>Revenues!E7</f>
        <v>12.25</v>
      </c>
      <c r="F154" s="527">
        <f>Revenues!F7</f>
        <v>12.583333333333334</v>
      </c>
      <c r="G154" s="527">
        <f>Revenues!G7</f>
        <v>12.925736961451248</v>
      </c>
      <c r="H154" s="527">
        <f>Revenues!H7</f>
        <v>13.27745769509618</v>
      </c>
      <c r="I154" s="527">
        <f>Revenues!I7</f>
        <v>13.638749060949138</v>
      </c>
      <c r="J154" s="527">
        <f>Revenues!J7</f>
        <v>14.009871484376326</v>
      </c>
      <c r="K154" s="527">
        <f>Revenues!K7</f>
        <v>14.391092477148472</v>
      </c>
      <c r="L154" s="527">
        <f>Revenues!L7</f>
        <v>14.782686830268158</v>
      </c>
      <c r="M154" s="527">
        <f>Revenues!M7</f>
        <v>15.184936812044162</v>
      </c>
      <c r="N154" s="527">
        <f>Revenues!N7</f>
        <v>15.598132371555568</v>
      </c>
      <c r="O154" s="527">
        <f>Revenues!O7</f>
        <v>16.02257134765232</v>
      </c>
      <c r="P154" s="527">
        <f>Revenues!P7</f>
        <v>16.45855968364286</v>
      </c>
      <c r="Q154" s="527">
        <f>Revenues!Q7</f>
        <v>16.90641164782362</v>
      </c>
      <c r="R154" s="527">
        <f>Revenues!R7</f>
        <v>17.3664500600093</v>
      </c>
      <c r="S154" s="527">
        <f>Revenues!S7</f>
        <v>17.83900652422724</v>
      </c>
      <c r="T154" s="527">
        <f>Revenues!T7</f>
        <v>18.32442166774363</v>
      </c>
      <c r="U154" s="527">
        <f>Revenues!U7</f>
        <v>18.823045386593797</v>
      </c>
      <c r="V154" s="527">
        <f>Revenues!V7</f>
        <v>19.33523709779363</v>
      </c>
      <c r="W154" s="527">
        <f>Revenues!W7</f>
        <v>19.861365998413866</v>
      </c>
      <c r="X154" s="527">
        <f>Revenues!X7</f>
        <v>20.40181133170404</v>
      </c>
    </row>
    <row r="155" spans="1:24" ht="11.25">
      <c r="A155" s="53" t="s">
        <v>224</v>
      </c>
      <c r="E155" s="54">
        <f>(E154*E73*10^5)/10^6</f>
        <v>83.3</v>
      </c>
      <c r="F155" s="54">
        <f aca="true" t="shared" si="18" ref="F155:X155">(F154*F73*10^5)/10^6</f>
        <v>85.56666666666668</v>
      </c>
      <c r="G155" s="54">
        <f t="shared" si="18"/>
        <v>87.89501133786848</v>
      </c>
      <c r="H155" s="54">
        <f t="shared" si="18"/>
        <v>94.26994963518287</v>
      </c>
      <c r="I155" s="54">
        <f t="shared" si="18"/>
        <v>100.92674305102362</v>
      </c>
      <c r="J155" s="54">
        <f t="shared" si="18"/>
        <v>107.8760104296977</v>
      </c>
      <c r="K155" s="54">
        <f t="shared" si="18"/>
        <v>115.12873981718779</v>
      </c>
      <c r="L155" s="54">
        <f t="shared" si="18"/>
        <v>133.0441814724134</v>
      </c>
      <c r="M155" s="54">
        <f t="shared" si="18"/>
        <v>136.66443130839744</v>
      </c>
      <c r="N155" s="54">
        <f t="shared" si="18"/>
        <v>140.38319134400012</v>
      </c>
      <c r="O155" s="54">
        <f t="shared" si="18"/>
        <v>160.2257134765232</v>
      </c>
      <c r="P155" s="54">
        <f t="shared" si="18"/>
        <v>164.5855968364286</v>
      </c>
      <c r="Q155" s="54">
        <f t="shared" si="18"/>
        <v>169.0641164782362</v>
      </c>
      <c r="R155" s="54">
        <f t="shared" si="18"/>
        <v>208.3974007201116</v>
      </c>
      <c r="S155" s="54">
        <f t="shared" si="18"/>
        <v>214.0680782907269</v>
      </c>
      <c r="T155" s="54">
        <f t="shared" si="18"/>
        <v>219.89306001292354</v>
      </c>
      <c r="U155" s="54">
        <f t="shared" si="18"/>
        <v>225.8765446391256</v>
      </c>
      <c r="V155" s="54">
        <f t="shared" si="18"/>
        <v>232.02284517352354</v>
      </c>
      <c r="W155" s="54">
        <f t="shared" si="18"/>
        <v>238.3363919809664</v>
      </c>
      <c r="X155" s="54">
        <f t="shared" si="18"/>
        <v>244.82173598044847</v>
      </c>
    </row>
    <row r="156" spans="1:24" ht="11.25">
      <c r="A156" s="53" t="s">
        <v>225</v>
      </c>
      <c r="B156" s="563">
        <v>0.25</v>
      </c>
      <c r="E156" s="54">
        <f>E155*(1+$B$156)</f>
        <v>104.125</v>
      </c>
      <c r="F156" s="54">
        <f aca="true" t="shared" si="19" ref="F156:X156">F155*(1+$B$156)</f>
        <v>106.95833333333334</v>
      </c>
      <c r="G156" s="54">
        <f t="shared" si="19"/>
        <v>109.8687641723356</v>
      </c>
      <c r="H156" s="54">
        <f t="shared" si="19"/>
        <v>117.83743704397858</v>
      </c>
      <c r="I156" s="54">
        <f t="shared" si="19"/>
        <v>126.15842881377952</v>
      </c>
      <c r="J156" s="54">
        <f t="shared" si="19"/>
        <v>134.84501303712213</v>
      </c>
      <c r="K156" s="54">
        <f t="shared" si="19"/>
        <v>143.91092477148473</v>
      </c>
      <c r="L156" s="54">
        <f t="shared" si="19"/>
        <v>166.30522684051675</v>
      </c>
      <c r="M156" s="54">
        <f t="shared" si="19"/>
        <v>170.8305391354968</v>
      </c>
      <c r="N156" s="54">
        <f t="shared" si="19"/>
        <v>175.47898918000016</v>
      </c>
      <c r="O156" s="54">
        <f t="shared" si="19"/>
        <v>200.282141845654</v>
      </c>
      <c r="P156" s="54">
        <f t="shared" si="19"/>
        <v>205.73199604553577</v>
      </c>
      <c r="Q156" s="54">
        <f t="shared" si="19"/>
        <v>211.33014559779525</v>
      </c>
      <c r="R156" s="54">
        <f t="shared" si="19"/>
        <v>260.4967509001395</v>
      </c>
      <c r="S156" s="54">
        <f t="shared" si="19"/>
        <v>267.58509786340863</v>
      </c>
      <c r="T156" s="54">
        <f t="shared" si="19"/>
        <v>274.8663250161544</v>
      </c>
      <c r="U156" s="54">
        <f t="shared" si="19"/>
        <v>282.345680798907</v>
      </c>
      <c r="V156" s="54">
        <f t="shared" si="19"/>
        <v>290.02855646690443</v>
      </c>
      <c r="W156" s="54">
        <f t="shared" si="19"/>
        <v>297.920489976208</v>
      </c>
      <c r="X156" s="54">
        <f t="shared" si="19"/>
        <v>306.0271699755606</v>
      </c>
    </row>
    <row r="157" ht="11.25">
      <c r="B157" s="521"/>
    </row>
    <row r="158" ht="11.25"/>
    <row r="159" spans="1:24" ht="11.25">
      <c r="A159" s="548" t="s">
        <v>226</v>
      </c>
      <c r="E159" s="507">
        <f>E152</f>
        <v>2012</v>
      </c>
      <c r="F159" s="507">
        <f aca="true" t="shared" si="20" ref="F159:X159">F152</f>
        <v>2013</v>
      </c>
      <c r="G159" s="507">
        <f t="shared" si="20"/>
        <v>2014</v>
      </c>
      <c r="H159" s="507">
        <f t="shared" si="20"/>
        <v>2015</v>
      </c>
      <c r="I159" s="507">
        <f t="shared" si="20"/>
        <v>2016</v>
      </c>
      <c r="J159" s="507">
        <f t="shared" si="20"/>
        <v>2017</v>
      </c>
      <c r="K159" s="507">
        <f t="shared" si="20"/>
        <v>2018</v>
      </c>
      <c r="L159" s="507">
        <f t="shared" si="20"/>
        <v>2019</v>
      </c>
      <c r="M159" s="507">
        <f t="shared" si="20"/>
        <v>2020</v>
      </c>
      <c r="N159" s="507">
        <f t="shared" si="20"/>
        <v>2021</v>
      </c>
      <c r="O159" s="507">
        <f t="shared" si="20"/>
        <v>2022</v>
      </c>
      <c r="P159" s="507">
        <f t="shared" si="20"/>
        <v>2023</v>
      </c>
      <c r="Q159" s="507">
        <f t="shared" si="20"/>
        <v>2024</v>
      </c>
      <c r="R159" s="507">
        <f t="shared" si="20"/>
        <v>2025</v>
      </c>
      <c r="S159" s="507">
        <f t="shared" si="20"/>
        <v>2026</v>
      </c>
      <c r="T159" s="507">
        <f t="shared" si="20"/>
        <v>2027</v>
      </c>
      <c r="U159" s="507">
        <f t="shared" si="20"/>
        <v>2028</v>
      </c>
      <c r="V159" s="507">
        <f t="shared" si="20"/>
        <v>2029</v>
      </c>
      <c r="W159" s="507">
        <f t="shared" si="20"/>
        <v>2030</v>
      </c>
      <c r="X159" s="507">
        <f t="shared" si="20"/>
        <v>2031</v>
      </c>
    </row>
    <row r="160" ht="11.25"/>
    <row r="161" spans="1:24" ht="11.25">
      <c r="A161" s="525" t="s">
        <v>228</v>
      </c>
      <c r="B161" s="548"/>
      <c r="E161" s="509">
        <v>32.248115000000006</v>
      </c>
      <c r="F161" s="509">
        <f>E161*(1+F162)^F86</f>
        <v>36.23398201400001</v>
      </c>
      <c r="G161" s="509">
        <f>F161*(1+G162)^G86</f>
        <v>43.15525232238625</v>
      </c>
      <c r="H161" s="509">
        <v>14.244066</v>
      </c>
      <c r="I161" s="509">
        <f>H161*(1+I162)</f>
        <v>15.09870996</v>
      </c>
      <c r="J161" s="509">
        <f>I161*(1+J162)</f>
        <v>16.0046325576</v>
      </c>
      <c r="K161" s="509">
        <f>J161*(1+K162)</f>
        <v>16.964910511056</v>
      </c>
      <c r="L161" s="509">
        <f>K161*(1+L162)</f>
        <v>17.98280514171936</v>
      </c>
      <c r="M161" s="509">
        <f>L161*(1+M162)</f>
        <v>19.061773450222525</v>
      </c>
      <c r="N161" s="509">
        <f>(('O&amp;M Year 3 onwards'!H30)*((1+Assumptions!N162)^10)/10^7)</f>
        <v>32.76873415809453</v>
      </c>
      <c r="O161" s="509">
        <f>N161*(1+O162)</f>
        <v>34.7348582075802</v>
      </c>
      <c r="P161" s="509">
        <f>O161*(1+P162)</f>
        <v>36.81894970003502</v>
      </c>
      <c r="Q161" s="509">
        <f>P161*(1+Q162)</f>
        <v>39.02808668203712</v>
      </c>
      <c r="R161" s="509">
        <f>Q161*(1+R162)</f>
        <v>41.36977188295935</v>
      </c>
      <c r="S161" s="509">
        <f aca="true" t="shared" si="21" ref="S161:X161">R161*(1+S162)</f>
        <v>43.85195819593691</v>
      </c>
      <c r="T161" s="509">
        <f t="shared" si="21"/>
        <v>46.48307568769312</v>
      </c>
      <c r="U161" s="509">
        <f t="shared" si="21"/>
        <v>49.272060228954714</v>
      </c>
      <c r="V161" s="509">
        <f t="shared" si="21"/>
        <v>52.228383842692</v>
      </c>
      <c r="W161" s="509">
        <f t="shared" si="21"/>
        <v>55.36208687325352</v>
      </c>
      <c r="X161" s="509">
        <f t="shared" si="21"/>
        <v>58.68381208564873</v>
      </c>
    </row>
    <row r="162" spans="1:24" ht="11.25">
      <c r="A162" s="564" t="s">
        <v>237</v>
      </c>
      <c r="E162" s="511">
        <v>0.06</v>
      </c>
      <c r="F162" s="511">
        <f>E162</f>
        <v>0.06</v>
      </c>
      <c r="G162" s="511">
        <f>F162</f>
        <v>0.06</v>
      </c>
      <c r="H162" s="511">
        <f aca="true" t="shared" si="22" ref="H162:X162">G162</f>
        <v>0.06</v>
      </c>
      <c r="I162" s="511">
        <f t="shared" si="22"/>
        <v>0.06</v>
      </c>
      <c r="J162" s="511">
        <f t="shared" si="22"/>
        <v>0.06</v>
      </c>
      <c r="K162" s="511">
        <f t="shared" si="22"/>
        <v>0.06</v>
      </c>
      <c r="L162" s="511">
        <f t="shared" si="22"/>
        <v>0.06</v>
      </c>
      <c r="M162" s="511">
        <f t="shared" si="22"/>
        <v>0.06</v>
      </c>
      <c r="N162" s="511">
        <f t="shared" si="22"/>
        <v>0.06</v>
      </c>
      <c r="O162" s="511">
        <f t="shared" si="22"/>
        <v>0.06</v>
      </c>
      <c r="P162" s="511">
        <f t="shared" si="22"/>
        <v>0.06</v>
      </c>
      <c r="Q162" s="511">
        <f t="shared" si="22"/>
        <v>0.06</v>
      </c>
      <c r="R162" s="511">
        <f t="shared" si="22"/>
        <v>0.06</v>
      </c>
      <c r="S162" s="511">
        <f t="shared" si="22"/>
        <v>0.06</v>
      </c>
      <c r="T162" s="511">
        <f t="shared" si="22"/>
        <v>0.06</v>
      </c>
      <c r="U162" s="511">
        <f t="shared" si="22"/>
        <v>0.06</v>
      </c>
      <c r="V162" s="511">
        <f t="shared" si="22"/>
        <v>0.06</v>
      </c>
      <c r="W162" s="511">
        <f t="shared" si="22"/>
        <v>0.06</v>
      </c>
      <c r="X162" s="511">
        <f t="shared" si="22"/>
        <v>0.06</v>
      </c>
    </row>
    <row r="163" spans="1:24" ht="11.25">
      <c r="A163" s="525" t="s">
        <v>229</v>
      </c>
      <c r="E163" s="54">
        <v>1.1367</v>
      </c>
      <c r="F163" s="54">
        <f>E163*(1+F164)</f>
        <v>1.2049020000000001</v>
      </c>
      <c r="G163" s="54">
        <f>F163*(1+G164)</f>
        <v>1.2771961200000002</v>
      </c>
      <c r="H163" s="54">
        <v>0</v>
      </c>
      <c r="I163" s="54">
        <v>0</v>
      </c>
      <c r="J163" s="54">
        <v>0</v>
      </c>
      <c r="K163" s="54">
        <v>0</v>
      </c>
      <c r="L163" s="54">
        <v>0</v>
      </c>
      <c r="M163" s="54">
        <v>0</v>
      </c>
      <c r="N163" s="54">
        <v>0</v>
      </c>
      <c r="O163" s="54">
        <v>0</v>
      </c>
      <c r="P163" s="54">
        <v>0</v>
      </c>
      <c r="Q163" s="54">
        <v>0</v>
      </c>
      <c r="R163" s="54">
        <v>0</v>
      </c>
      <c r="S163" s="54">
        <v>0</v>
      </c>
      <c r="T163" s="54">
        <v>0</v>
      </c>
      <c r="U163" s="54">
        <v>0</v>
      </c>
      <c r="V163" s="54">
        <v>0</v>
      </c>
      <c r="W163" s="54">
        <v>0</v>
      </c>
      <c r="X163" s="54">
        <v>0</v>
      </c>
    </row>
    <row r="164" spans="1:24" ht="11.25">
      <c r="A164" s="564" t="s">
        <v>237</v>
      </c>
      <c r="F164" s="511">
        <v>0.06</v>
      </c>
      <c r="G164" s="511">
        <f>F164</f>
        <v>0.06</v>
      </c>
      <c r="H164" s="511">
        <f aca="true" t="shared" si="23" ref="H164:X175">G164</f>
        <v>0.06</v>
      </c>
      <c r="I164" s="511">
        <f t="shared" si="23"/>
        <v>0.06</v>
      </c>
      <c r="J164" s="511">
        <f t="shared" si="23"/>
        <v>0.06</v>
      </c>
      <c r="K164" s="511">
        <f t="shared" si="23"/>
        <v>0.06</v>
      </c>
      <c r="L164" s="511">
        <f t="shared" si="23"/>
        <v>0.06</v>
      </c>
      <c r="M164" s="511">
        <f t="shared" si="23"/>
        <v>0.06</v>
      </c>
      <c r="N164" s="511">
        <f t="shared" si="23"/>
        <v>0.06</v>
      </c>
      <c r="O164" s="511">
        <f t="shared" si="23"/>
        <v>0.06</v>
      </c>
      <c r="P164" s="511">
        <f t="shared" si="23"/>
        <v>0.06</v>
      </c>
      <c r="Q164" s="511">
        <f t="shared" si="23"/>
        <v>0.06</v>
      </c>
      <c r="R164" s="511">
        <f t="shared" si="23"/>
        <v>0.06</v>
      </c>
      <c r="S164" s="511">
        <f t="shared" si="23"/>
        <v>0.06</v>
      </c>
      <c r="T164" s="511">
        <f t="shared" si="23"/>
        <v>0.06</v>
      </c>
      <c r="U164" s="511">
        <f t="shared" si="23"/>
        <v>0.06</v>
      </c>
      <c r="V164" s="511">
        <f t="shared" si="23"/>
        <v>0.06</v>
      </c>
      <c r="W164" s="511">
        <f t="shared" si="23"/>
        <v>0.06</v>
      </c>
      <c r="X164" s="511">
        <f t="shared" si="23"/>
        <v>0.06</v>
      </c>
    </row>
    <row r="165" spans="1:24" ht="11.25">
      <c r="A165" s="525" t="s">
        <v>230</v>
      </c>
      <c r="E165" s="527">
        <f>((170*E156*$D$4)/10^7)</f>
        <v>0.646095625</v>
      </c>
      <c r="F165" s="527">
        <f>((170*F156*$D$4)/10^7)*(1+F166)</f>
        <v>0.6968602812500001</v>
      </c>
      <c r="G165" s="527">
        <f>((170*G156*$D$4)/10^7)*(1+G166)</f>
        <v>0.7158224657738096</v>
      </c>
      <c r="H165" s="527">
        <f>((170*H156*$D$4)/10^7)*(1+H166)</f>
        <v>0.7677403617007815</v>
      </c>
      <c r="I165" s="527">
        <f aca="true" t="shared" si="24" ref="I165:X165">((170*I156*$D$4)/10^7)*(1+I166)</f>
        <v>0.8219537033289771</v>
      </c>
      <c r="J165" s="527">
        <f t="shared" si="24"/>
        <v>0.8785489711901099</v>
      </c>
      <c r="K165" s="527">
        <f t="shared" si="24"/>
        <v>0.9376156526174159</v>
      </c>
      <c r="L165" s="527">
        <f t="shared" si="24"/>
        <v>1.083520129172677</v>
      </c>
      <c r="M165" s="527">
        <f t="shared" si="24"/>
        <v>1.1130036701025454</v>
      </c>
      <c r="N165" s="527">
        <f t="shared" si="24"/>
        <v>1.143289484254996</v>
      </c>
      <c r="O165" s="527">
        <f t="shared" si="24"/>
        <v>1.3048882246598974</v>
      </c>
      <c r="P165" s="527">
        <f t="shared" si="24"/>
        <v>1.3403953872356769</v>
      </c>
      <c r="Q165" s="527">
        <f t="shared" si="24"/>
        <v>1.3768687311060355</v>
      </c>
      <c r="R165" s="527">
        <f t="shared" si="24"/>
        <v>1.6972014563021338</v>
      </c>
      <c r="S165" s="527">
        <f t="shared" si="24"/>
        <v>1.7433838088545732</v>
      </c>
      <c r="T165" s="527">
        <f t="shared" si="24"/>
        <v>1.7908228240615</v>
      </c>
      <c r="U165" s="527">
        <f t="shared" si="24"/>
        <v>1.839552696825079</v>
      </c>
      <c r="V165" s="527">
        <f t="shared" si="24"/>
        <v>1.8896085525209994</v>
      </c>
      <c r="W165" s="527">
        <f t="shared" si="24"/>
        <v>1.9410264723174893</v>
      </c>
      <c r="X165" s="527">
        <f t="shared" si="24"/>
        <v>1.9938435191832713</v>
      </c>
    </row>
    <row r="166" spans="1:24" ht="11.25">
      <c r="A166" s="564" t="s">
        <v>237</v>
      </c>
      <c r="F166" s="511">
        <v>0.05</v>
      </c>
      <c r="G166" s="511">
        <f>F166</f>
        <v>0.05</v>
      </c>
      <c r="H166" s="511">
        <f t="shared" si="23"/>
        <v>0.05</v>
      </c>
      <c r="I166" s="511">
        <f t="shared" si="23"/>
        <v>0.05</v>
      </c>
      <c r="J166" s="511">
        <f t="shared" si="23"/>
        <v>0.05</v>
      </c>
      <c r="K166" s="511">
        <f t="shared" si="23"/>
        <v>0.05</v>
      </c>
      <c r="L166" s="511">
        <f t="shared" si="23"/>
        <v>0.05</v>
      </c>
      <c r="M166" s="511">
        <f t="shared" si="23"/>
        <v>0.05</v>
      </c>
      <c r="N166" s="511">
        <f t="shared" si="23"/>
        <v>0.05</v>
      </c>
      <c r="O166" s="511">
        <f t="shared" si="23"/>
        <v>0.05</v>
      </c>
      <c r="P166" s="511">
        <f t="shared" si="23"/>
        <v>0.05</v>
      </c>
      <c r="Q166" s="511">
        <f t="shared" si="23"/>
        <v>0.05</v>
      </c>
      <c r="R166" s="511">
        <f t="shared" si="23"/>
        <v>0.05</v>
      </c>
      <c r="S166" s="511">
        <f t="shared" si="23"/>
        <v>0.05</v>
      </c>
      <c r="T166" s="511">
        <f t="shared" si="23"/>
        <v>0.05</v>
      </c>
      <c r="U166" s="511">
        <f t="shared" si="23"/>
        <v>0.05</v>
      </c>
      <c r="V166" s="511">
        <f t="shared" si="23"/>
        <v>0.05</v>
      </c>
      <c r="W166" s="511">
        <f t="shared" si="23"/>
        <v>0.05</v>
      </c>
      <c r="X166" s="511">
        <f t="shared" si="23"/>
        <v>0.05</v>
      </c>
    </row>
    <row r="167" spans="1:24" ht="11.25">
      <c r="A167" s="53" t="s">
        <v>231</v>
      </c>
      <c r="E167" s="527">
        <v>0.55</v>
      </c>
      <c r="F167" s="53">
        <f>E167*(1+F168)</f>
        <v>0.55</v>
      </c>
      <c r="G167" s="53">
        <f>F167*(1+G168)</f>
        <v>0.55</v>
      </c>
      <c r="H167" s="53">
        <f aca="true" t="shared" si="25" ref="H167:X167">G167*(1+H168)</f>
        <v>0.55</v>
      </c>
      <c r="I167" s="53">
        <f t="shared" si="25"/>
        <v>0.55</v>
      </c>
      <c r="J167" s="53">
        <f t="shared" si="25"/>
        <v>0.55</v>
      </c>
      <c r="K167" s="53">
        <f t="shared" si="25"/>
        <v>0.55</v>
      </c>
      <c r="L167" s="53">
        <f t="shared" si="25"/>
        <v>0.55</v>
      </c>
      <c r="M167" s="53">
        <f t="shared" si="25"/>
        <v>0.55</v>
      </c>
      <c r="N167" s="53">
        <f t="shared" si="25"/>
        <v>0.55</v>
      </c>
      <c r="O167" s="53">
        <f t="shared" si="25"/>
        <v>0.55</v>
      </c>
      <c r="P167" s="53">
        <f t="shared" si="25"/>
        <v>0.55</v>
      </c>
      <c r="Q167" s="53">
        <f t="shared" si="25"/>
        <v>0.55</v>
      </c>
      <c r="R167" s="53">
        <f t="shared" si="25"/>
        <v>0.55</v>
      </c>
      <c r="S167" s="53">
        <f t="shared" si="25"/>
        <v>0.55</v>
      </c>
      <c r="T167" s="53">
        <f t="shared" si="25"/>
        <v>0.55</v>
      </c>
      <c r="U167" s="53">
        <f t="shared" si="25"/>
        <v>0.55</v>
      </c>
      <c r="V167" s="53">
        <f t="shared" si="25"/>
        <v>0.55</v>
      </c>
      <c r="W167" s="53">
        <f t="shared" si="25"/>
        <v>0.55</v>
      </c>
      <c r="X167" s="53">
        <f t="shared" si="25"/>
        <v>0.55</v>
      </c>
    </row>
    <row r="168" spans="1:24" ht="11.25">
      <c r="A168" s="565" t="s">
        <v>237</v>
      </c>
      <c r="E168" s="511"/>
      <c r="F168" s="511">
        <v>0</v>
      </c>
      <c r="G168" s="511">
        <f>F168</f>
        <v>0</v>
      </c>
      <c r="H168" s="511">
        <f t="shared" si="23"/>
        <v>0</v>
      </c>
      <c r="I168" s="511">
        <f t="shared" si="23"/>
        <v>0</v>
      </c>
      <c r="J168" s="511">
        <f t="shared" si="23"/>
        <v>0</v>
      </c>
      <c r="K168" s="511">
        <f t="shared" si="23"/>
        <v>0</v>
      </c>
      <c r="L168" s="511">
        <f t="shared" si="23"/>
        <v>0</v>
      </c>
      <c r="M168" s="511">
        <f t="shared" si="23"/>
        <v>0</v>
      </c>
      <c r="N168" s="511">
        <f t="shared" si="23"/>
        <v>0</v>
      </c>
      <c r="O168" s="511">
        <f t="shared" si="23"/>
        <v>0</v>
      </c>
      <c r="P168" s="511">
        <f t="shared" si="23"/>
        <v>0</v>
      </c>
      <c r="Q168" s="511">
        <f t="shared" si="23"/>
        <v>0</v>
      </c>
      <c r="R168" s="511">
        <f t="shared" si="23"/>
        <v>0</v>
      </c>
      <c r="S168" s="511">
        <f t="shared" si="23"/>
        <v>0</v>
      </c>
      <c r="T168" s="511">
        <f t="shared" si="23"/>
        <v>0</v>
      </c>
      <c r="U168" s="511">
        <f t="shared" si="23"/>
        <v>0</v>
      </c>
      <c r="V168" s="511">
        <f t="shared" si="23"/>
        <v>0</v>
      </c>
      <c r="W168" s="511">
        <f t="shared" si="23"/>
        <v>0</v>
      </c>
      <c r="X168" s="511">
        <f t="shared" si="23"/>
        <v>0</v>
      </c>
    </row>
    <row r="169" spans="1:24" ht="11.25">
      <c r="A169" s="53" t="s">
        <v>232</v>
      </c>
      <c r="E169" s="54">
        <v>1.3166</v>
      </c>
      <c r="F169" s="54">
        <f>E169*(1+F170)</f>
        <v>1.38243</v>
      </c>
      <c r="G169" s="54">
        <f>F169*(1+G170)</f>
        <v>1.4515515</v>
      </c>
      <c r="H169" s="54">
        <f aca="true" t="shared" si="26" ref="H169:X169">G169*(1+H170)</f>
        <v>1.5241290750000003</v>
      </c>
      <c r="I169" s="54">
        <f t="shared" si="26"/>
        <v>1.6003355287500003</v>
      </c>
      <c r="J169" s="54">
        <f t="shared" si="26"/>
        <v>1.6803523051875005</v>
      </c>
      <c r="K169" s="54">
        <f t="shared" si="26"/>
        <v>1.7643699204468755</v>
      </c>
      <c r="L169" s="54">
        <f t="shared" si="26"/>
        <v>1.8525884164692192</v>
      </c>
      <c r="M169" s="54">
        <f t="shared" si="26"/>
        <v>1.9452178372926803</v>
      </c>
      <c r="N169" s="54">
        <f t="shared" si="26"/>
        <v>2.0424787291573145</v>
      </c>
      <c r="O169" s="54">
        <f t="shared" si="26"/>
        <v>2.14460266561518</v>
      </c>
      <c r="P169" s="54">
        <f t="shared" si="26"/>
        <v>2.2518327988959395</v>
      </c>
      <c r="Q169" s="54">
        <f t="shared" si="26"/>
        <v>2.3644244388407367</v>
      </c>
      <c r="R169" s="54">
        <f t="shared" si="26"/>
        <v>2.4826456607827736</v>
      </c>
      <c r="S169" s="54">
        <f t="shared" si="26"/>
        <v>2.6067779438219123</v>
      </c>
      <c r="T169" s="54">
        <f t="shared" si="26"/>
        <v>2.737116841013008</v>
      </c>
      <c r="U169" s="54">
        <f t="shared" si="26"/>
        <v>2.8739726830636587</v>
      </c>
      <c r="V169" s="54">
        <f t="shared" si="26"/>
        <v>3.0176713172168417</v>
      </c>
      <c r="W169" s="54">
        <f t="shared" si="26"/>
        <v>3.1685548830776837</v>
      </c>
      <c r="X169" s="54">
        <f t="shared" si="26"/>
        <v>3.326982627231568</v>
      </c>
    </row>
    <row r="170" spans="1:24" ht="11.25">
      <c r="A170" s="565" t="s">
        <v>237</v>
      </c>
      <c r="E170" s="54"/>
      <c r="F170" s="511">
        <v>0.05</v>
      </c>
      <c r="G170" s="511">
        <f>F170</f>
        <v>0.05</v>
      </c>
      <c r="H170" s="511">
        <f t="shared" si="23"/>
        <v>0.05</v>
      </c>
      <c r="I170" s="511">
        <f t="shared" si="23"/>
        <v>0.05</v>
      </c>
      <c r="J170" s="511">
        <f t="shared" si="23"/>
        <v>0.05</v>
      </c>
      <c r="K170" s="511">
        <f t="shared" si="23"/>
        <v>0.05</v>
      </c>
      <c r="L170" s="511">
        <f t="shared" si="23"/>
        <v>0.05</v>
      </c>
      <c r="M170" s="511">
        <f t="shared" si="23"/>
        <v>0.05</v>
      </c>
      <c r="N170" s="511">
        <f t="shared" si="23"/>
        <v>0.05</v>
      </c>
      <c r="O170" s="511">
        <f t="shared" si="23"/>
        <v>0.05</v>
      </c>
      <c r="P170" s="511">
        <f t="shared" si="23"/>
        <v>0.05</v>
      </c>
      <c r="Q170" s="511">
        <f t="shared" si="23"/>
        <v>0.05</v>
      </c>
      <c r="R170" s="511">
        <f t="shared" si="23"/>
        <v>0.05</v>
      </c>
      <c r="S170" s="511">
        <f t="shared" si="23"/>
        <v>0.05</v>
      </c>
      <c r="T170" s="511">
        <f t="shared" si="23"/>
        <v>0.05</v>
      </c>
      <c r="U170" s="511">
        <f t="shared" si="23"/>
        <v>0.05</v>
      </c>
      <c r="V170" s="511">
        <f t="shared" si="23"/>
        <v>0.05</v>
      </c>
      <c r="W170" s="511">
        <f t="shared" si="23"/>
        <v>0.05</v>
      </c>
      <c r="X170" s="511">
        <f t="shared" si="23"/>
        <v>0.05</v>
      </c>
    </row>
    <row r="171" spans="1:24" ht="11.25">
      <c r="A171" s="53" t="s">
        <v>233</v>
      </c>
      <c r="E171" s="54">
        <v>1.3627</v>
      </c>
      <c r="F171" s="54">
        <f>E171*(1+F172)</f>
        <v>1.430835</v>
      </c>
      <c r="G171" s="54">
        <f>F171*(1+G172)</f>
        <v>1.50237675</v>
      </c>
      <c r="H171" s="54">
        <f aca="true" t="shared" si="27" ref="H171:X171">G171*(1+H172)</f>
        <v>1.5774955875</v>
      </c>
      <c r="I171" s="54">
        <f t="shared" si="27"/>
        <v>1.656370366875</v>
      </c>
      <c r="J171" s="54">
        <f t="shared" si="27"/>
        <v>1.73918888521875</v>
      </c>
      <c r="K171" s="54">
        <f t="shared" si="27"/>
        <v>1.8261483294796876</v>
      </c>
      <c r="L171" s="54">
        <f t="shared" si="27"/>
        <v>1.917455745953672</v>
      </c>
      <c r="M171" s="54">
        <f t="shared" si="27"/>
        <v>2.013328533251356</v>
      </c>
      <c r="N171" s="54">
        <f t="shared" si="27"/>
        <v>2.113994959913924</v>
      </c>
      <c r="O171" s="54">
        <f t="shared" si="27"/>
        <v>2.2196947079096203</v>
      </c>
      <c r="P171" s="54">
        <f t="shared" si="27"/>
        <v>2.3306794433051015</v>
      </c>
      <c r="Q171" s="54">
        <f t="shared" si="27"/>
        <v>2.4472134154703564</v>
      </c>
      <c r="R171" s="54">
        <f t="shared" si="27"/>
        <v>2.5695740862438745</v>
      </c>
      <c r="S171" s="54">
        <f t="shared" si="27"/>
        <v>2.6980527905560683</v>
      </c>
      <c r="T171" s="54">
        <f t="shared" si="27"/>
        <v>2.8329554300838717</v>
      </c>
      <c r="U171" s="54">
        <f t="shared" si="27"/>
        <v>2.9746032015880655</v>
      </c>
      <c r="V171" s="54">
        <f t="shared" si="27"/>
        <v>3.123333361667469</v>
      </c>
      <c r="W171" s="54">
        <f t="shared" si="27"/>
        <v>3.2795000297508428</v>
      </c>
      <c r="X171" s="54">
        <f t="shared" si="27"/>
        <v>3.443475031238385</v>
      </c>
    </row>
    <row r="172" spans="1:24" ht="11.25">
      <c r="A172" s="565" t="s">
        <v>237</v>
      </c>
      <c r="F172" s="511">
        <v>0.05</v>
      </c>
      <c r="G172" s="511">
        <f>F172</f>
        <v>0.05</v>
      </c>
      <c r="H172" s="511">
        <f t="shared" si="23"/>
        <v>0.05</v>
      </c>
      <c r="I172" s="511">
        <f t="shared" si="23"/>
        <v>0.05</v>
      </c>
      <c r="J172" s="511">
        <f t="shared" si="23"/>
        <v>0.05</v>
      </c>
      <c r="K172" s="511">
        <f t="shared" si="23"/>
        <v>0.05</v>
      </c>
      <c r="L172" s="511">
        <f t="shared" si="23"/>
        <v>0.05</v>
      </c>
      <c r="M172" s="511">
        <f t="shared" si="23"/>
        <v>0.05</v>
      </c>
      <c r="N172" s="511">
        <f t="shared" si="23"/>
        <v>0.05</v>
      </c>
      <c r="O172" s="511">
        <f t="shared" si="23"/>
        <v>0.05</v>
      </c>
      <c r="P172" s="511">
        <f t="shared" si="23"/>
        <v>0.05</v>
      </c>
      <c r="Q172" s="511">
        <f t="shared" si="23"/>
        <v>0.05</v>
      </c>
      <c r="R172" s="511">
        <f t="shared" si="23"/>
        <v>0.05</v>
      </c>
      <c r="S172" s="511">
        <f t="shared" si="23"/>
        <v>0.05</v>
      </c>
      <c r="T172" s="511">
        <f t="shared" si="23"/>
        <v>0.05</v>
      </c>
      <c r="U172" s="511">
        <f t="shared" si="23"/>
        <v>0.05</v>
      </c>
      <c r="V172" s="511">
        <f t="shared" si="23"/>
        <v>0.05</v>
      </c>
      <c r="W172" s="511">
        <f t="shared" si="23"/>
        <v>0.05</v>
      </c>
      <c r="X172" s="511">
        <f t="shared" si="23"/>
        <v>0.05</v>
      </c>
    </row>
    <row r="173" spans="1:24" ht="11.25">
      <c r="A173" s="525" t="s">
        <v>234</v>
      </c>
      <c r="E173" s="54">
        <v>11.062644766362027</v>
      </c>
      <c r="F173" s="54">
        <v>11.700211950305864</v>
      </c>
      <c r="G173" s="54">
        <v>12.35053273387566</v>
      </c>
      <c r="H173" s="54">
        <v>13.07699426024334</v>
      </c>
      <c r="I173" s="54">
        <v>13.675874499408762</v>
      </c>
      <c r="J173" s="54">
        <v>14.39366278301745</v>
      </c>
      <c r="K173" s="54">
        <v>14.921529197351273</v>
      </c>
      <c r="L173" s="54">
        <v>15.773779187240253</v>
      </c>
      <c r="M173" s="54">
        <v>16.51055554476315</v>
      </c>
      <c r="N173" s="54">
        <v>17.06352383542877</v>
      </c>
      <c r="O173" s="54">
        <v>17.496057100505293</v>
      </c>
      <c r="P173" s="54">
        <v>18.016284557587383</v>
      </c>
      <c r="Q173" s="54">
        <v>18.60126832077794</v>
      </c>
      <c r="R173" s="54">
        <v>19.401465102539994</v>
      </c>
      <c r="S173" s="54">
        <v>19.82351113312751</v>
      </c>
      <c r="T173" s="54">
        <v>20.41126294919865</v>
      </c>
      <c r="U173" s="54">
        <v>20.748273256302042</v>
      </c>
      <c r="V173" s="54">
        <v>21.754377181177695</v>
      </c>
      <c r="W173" s="54">
        <v>23.32025904620513</v>
      </c>
      <c r="X173" s="54">
        <v>25.069278474670515</v>
      </c>
    </row>
    <row r="174" spans="1:24" ht="11.25">
      <c r="A174" s="53" t="s">
        <v>235</v>
      </c>
      <c r="E174" s="54">
        <v>0.95078</v>
      </c>
      <c r="F174" s="54">
        <f>E174*(1+F175)</f>
        <v>0.998319</v>
      </c>
      <c r="G174" s="54">
        <f>F174*(1+G175)</f>
        <v>1.0482349499999999</v>
      </c>
      <c r="H174" s="54">
        <f aca="true" t="shared" si="28" ref="H174:X174">G174*(1+H175)</f>
        <v>1.1006466975</v>
      </c>
      <c r="I174" s="54">
        <f t="shared" si="28"/>
        <v>1.1556790323750001</v>
      </c>
      <c r="J174" s="54">
        <f t="shared" si="28"/>
        <v>1.2134629839937503</v>
      </c>
      <c r="K174" s="54">
        <f t="shared" si="28"/>
        <v>1.2741361331934378</v>
      </c>
      <c r="L174" s="54">
        <f t="shared" si="28"/>
        <v>1.3378429398531098</v>
      </c>
      <c r="M174" s="54">
        <f t="shared" si="28"/>
        <v>1.4047350868457653</v>
      </c>
      <c r="N174" s="54">
        <f t="shared" si="28"/>
        <v>1.4749718411880537</v>
      </c>
      <c r="O174" s="54">
        <f t="shared" si="28"/>
        <v>1.5487204332474565</v>
      </c>
      <c r="P174" s="54">
        <f t="shared" si="28"/>
        <v>1.6261564549098293</v>
      </c>
      <c r="Q174" s="54">
        <f t="shared" si="28"/>
        <v>1.7074642776553208</v>
      </c>
      <c r="R174" s="54">
        <f t="shared" si="28"/>
        <v>1.792837491538087</v>
      </c>
      <c r="S174" s="54">
        <f t="shared" si="28"/>
        <v>1.8824793661149914</v>
      </c>
      <c r="T174" s="54">
        <f t="shared" si="28"/>
        <v>1.9766033344207412</v>
      </c>
      <c r="U174" s="54">
        <f t="shared" si="28"/>
        <v>2.075433501141778</v>
      </c>
      <c r="V174" s="54">
        <f t="shared" si="28"/>
        <v>2.179205176198867</v>
      </c>
      <c r="W174" s="54">
        <f t="shared" si="28"/>
        <v>2.2881654350088105</v>
      </c>
      <c r="X174" s="54">
        <f t="shared" si="28"/>
        <v>2.402573706759251</v>
      </c>
    </row>
    <row r="175" spans="1:25" ht="11.25">
      <c r="A175" s="565" t="s">
        <v>237</v>
      </c>
      <c r="F175" s="511">
        <v>0.05</v>
      </c>
      <c r="G175" s="511">
        <f>F175</f>
        <v>0.05</v>
      </c>
      <c r="H175" s="511">
        <f t="shared" si="23"/>
        <v>0.05</v>
      </c>
      <c r="I175" s="511">
        <f t="shared" si="23"/>
        <v>0.05</v>
      </c>
      <c r="J175" s="511">
        <f t="shared" si="23"/>
        <v>0.05</v>
      </c>
      <c r="K175" s="511">
        <f t="shared" si="23"/>
        <v>0.05</v>
      </c>
      <c r="L175" s="511">
        <f t="shared" si="23"/>
        <v>0.05</v>
      </c>
      <c r="M175" s="511">
        <f t="shared" si="23"/>
        <v>0.05</v>
      </c>
      <c r="N175" s="511">
        <f t="shared" si="23"/>
        <v>0.05</v>
      </c>
      <c r="O175" s="511">
        <f t="shared" si="23"/>
        <v>0.05</v>
      </c>
      <c r="P175" s="511">
        <f t="shared" si="23"/>
        <v>0.05</v>
      </c>
      <c r="Q175" s="511">
        <f t="shared" si="23"/>
        <v>0.05</v>
      </c>
      <c r="R175" s="511">
        <f t="shared" si="23"/>
        <v>0.05</v>
      </c>
      <c r="S175" s="511">
        <f t="shared" si="23"/>
        <v>0.05</v>
      </c>
      <c r="T175" s="511">
        <f t="shared" si="23"/>
        <v>0.05</v>
      </c>
      <c r="U175" s="511">
        <f t="shared" si="23"/>
        <v>0.05</v>
      </c>
      <c r="V175" s="511">
        <f t="shared" si="23"/>
        <v>0.05</v>
      </c>
      <c r="W175" s="511">
        <f t="shared" si="23"/>
        <v>0.05</v>
      </c>
      <c r="X175" s="511">
        <f t="shared" si="23"/>
        <v>0.05</v>
      </c>
      <c r="Y175" s="511"/>
    </row>
    <row r="176" spans="1:24" ht="11.25">
      <c r="A176" s="53" t="s">
        <v>238</v>
      </c>
      <c r="B176" s="511">
        <v>0.02</v>
      </c>
      <c r="E176" s="54">
        <f aca="true" t="shared" si="29" ref="E176:X176">(E161+E163+E165+E167+E169+E171+E173+E174)*$B$176</f>
        <v>0.9854727078272406</v>
      </c>
      <c r="F176" s="54">
        <f t="shared" si="29"/>
        <v>1.0839508049111175</v>
      </c>
      <c r="G176" s="54">
        <f t="shared" si="29"/>
        <v>1.2410193368407145</v>
      </c>
      <c r="H176" s="54">
        <f t="shared" si="29"/>
        <v>0.6568214396388824</v>
      </c>
      <c r="I176" s="54">
        <f t="shared" si="29"/>
        <v>0.6911784618147547</v>
      </c>
      <c r="J176" s="54">
        <f t="shared" si="29"/>
        <v>0.7291969697241513</v>
      </c>
      <c r="K176" s="54">
        <f t="shared" si="29"/>
        <v>0.7647741948828938</v>
      </c>
      <c r="L176" s="54">
        <f t="shared" si="29"/>
        <v>0.809959831208166</v>
      </c>
      <c r="M176" s="54">
        <f t="shared" si="29"/>
        <v>0.8519722824495607</v>
      </c>
      <c r="N176" s="54">
        <f t="shared" si="29"/>
        <v>1.1431398601607519</v>
      </c>
      <c r="O176" s="54">
        <f t="shared" si="29"/>
        <v>1.199976426790353</v>
      </c>
      <c r="P176" s="54">
        <f t="shared" si="29"/>
        <v>1.258685966839379</v>
      </c>
      <c r="Q176" s="54">
        <f t="shared" si="29"/>
        <v>1.3215065173177503</v>
      </c>
      <c r="R176" s="54">
        <f t="shared" si="29"/>
        <v>1.397269913607324</v>
      </c>
      <c r="S176" s="54">
        <f t="shared" si="29"/>
        <v>1.4631232647682393</v>
      </c>
      <c r="T176" s="54">
        <f t="shared" si="29"/>
        <v>1.5356367413294176</v>
      </c>
      <c r="U176" s="54">
        <f t="shared" si="29"/>
        <v>1.6066779113575067</v>
      </c>
      <c r="V176" s="54">
        <f t="shared" si="29"/>
        <v>1.6948515886294773</v>
      </c>
      <c r="W176" s="54">
        <f t="shared" si="29"/>
        <v>1.7981918547922693</v>
      </c>
      <c r="X176" s="54">
        <f t="shared" si="29"/>
        <v>1.9093993088946344</v>
      </c>
    </row>
    <row r="177" spans="1:24" ht="11.25">
      <c r="A177" s="565" t="s">
        <v>237</v>
      </c>
      <c r="E177" s="511"/>
      <c r="F177" s="511"/>
      <c r="G177" s="511"/>
      <c r="H177" s="511"/>
      <c r="I177" s="511"/>
      <c r="J177" s="511"/>
      <c r="K177" s="511"/>
      <c r="L177" s="511"/>
      <c r="M177" s="511"/>
      <c r="N177" s="511"/>
      <c r="O177" s="511"/>
      <c r="P177" s="511"/>
      <c r="Q177" s="511"/>
      <c r="R177" s="511"/>
      <c r="S177" s="511"/>
      <c r="T177" s="511"/>
      <c r="U177" s="511"/>
      <c r="V177" s="511"/>
      <c r="W177" s="511"/>
      <c r="X177" s="511"/>
    </row>
    <row r="178" spans="1:24" ht="11.25">
      <c r="A178" s="53" t="s">
        <v>236</v>
      </c>
      <c r="B178" s="551">
        <v>0</v>
      </c>
      <c r="E178" s="54">
        <f aca="true" t="shared" si="30" ref="E178:X178">(E161+E163+E165+E167+E169+E171+E173+E174+E176)*$B$178</f>
        <v>0</v>
      </c>
      <c r="F178" s="54">
        <f t="shared" si="30"/>
        <v>0</v>
      </c>
      <c r="G178" s="54">
        <f t="shared" si="30"/>
        <v>0</v>
      </c>
      <c r="H178" s="54">
        <f t="shared" si="30"/>
        <v>0</v>
      </c>
      <c r="I178" s="54">
        <f t="shared" si="30"/>
        <v>0</v>
      </c>
      <c r="J178" s="54">
        <f t="shared" si="30"/>
        <v>0</v>
      </c>
      <c r="K178" s="54">
        <f t="shared" si="30"/>
        <v>0</v>
      </c>
      <c r="L178" s="54">
        <f t="shared" si="30"/>
        <v>0</v>
      </c>
      <c r="M178" s="54">
        <f t="shared" si="30"/>
        <v>0</v>
      </c>
      <c r="N178" s="54">
        <f t="shared" si="30"/>
        <v>0</v>
      </c>
      <c r="O178" s="54">
        <f t="shared" si="30"/>
        <v>0</v>
      </c>
      <c r="P178" s="54">
        <f t="shared" si="30"/>
        <v>0</v>
      </c>
      <c r="Q178" s="54">
        <f t="shared" si="30"/>
        <v>0</v>
      </c>
      <c r="R178" s="54">
        <f t="shared" si="30"/>
        <v>0</v>
      </c>
      <c r="S178" s="54">
        <f t="shared" si="30"/>
        <v>0</v>
      </c>
      <c r="T178" s="54">
        <f t="shared" si="30"/>
        <v>0</v>
      </c>
      <c r="U178" s="54">
        <f t="shared" si="30"/>
        <v>0</v>
      </c>
      <c r="V178" s="54">
        <f t="shared" si="30"/>
        <v>0</v>
      </c>
      <c r="W178" s="54">
        <f t="shared" si="30"/>
        <v>0</v>
      </c>
      <c r="X178" s="54">
        <f t="shared" si="30"/>
        <v>0</v>
      </c>
    </row>
    <row r="180" spans="1:24" ht="11.25">
      <c r="A180" s="53" t="s">
        <v>239</v>
      </c>
      <c r="E180" s="54">
        <f aca="true" t="shared" si="31" ref="E180:X180">E161+E163+E165+E167+E169+E171+E173+E174+E176+E178</f>
        <v>50.25910809918927</v>
      </c>
      <c r="F180" s="54">
        <f t="shared" si="31"/>
        <v>55.28149105046699</v>
      </c>
      <c r="G180" s="54">
        <f t="shared" si="31"/>
        <v>63.291986178876435</v>
      </c>
      <c r="H180" s="54">
        <f t="shared" si="31"/>
        <v>33.497893421583</v>
      </c>
      <c r="I180" s="54">
        <f t="shared" si="31"/>
        <v>35.25010155255249</v>
      </c>
      <c r="J180" s="54">
        <f t="shared" si="31"/>
        <v>37.18904545593171</v>
      </c>
      <c r="K180" s="54">
        <f t="shared" si="31"/>
        <v>39.00348393902758</v>
      </c>
      <c r="L180" s="54">
        <f t="shared" si="31"/>
        <v>41.30795139161646</v>
      </c>
      <c r="M180" s="54">
        <f t="shared" si="31"/>
        <v>43.45058640492759</v>
      </c>
      <c r="N180" s="54">
        <f t="shared" si="31"/>
        <v>58.30013286819834</v>
      </c>
      <c r="O180" s="54">
        <f t="shared" si="31"/>
        <v>61.198797766308</v>
      </c>
      <c r="P180" s="54">
        <f t="shared" si="31"/>
        <v>64.19298430880832</v>
      </c>
      <c r="Q180" s="54">
        <f t="shared" si="31"/>
        <v>67.39683238320525</v>
      </c>
      <c r="R180" s="54">
        <f t="shared" si="31"/>
        <v>71.26076559397352</v>
      </c>
      <c r="S180" s="54">
        <f t="shared" si="31"/>
        <v>74.6192865031802</v>
      </c>
      <c r="T180" s="54">
        <f t="shared" si="31"/>
        <v>78.3174738078003</v>
      </c>
      <c r="U180" s="54">
        <f t="shared" si="31"/>
        <v>81.94057347923284</v>
      </c>
      <c r="V180" s="54">
        <f t="shared" si="31"/>
        <v>86.43743102010333</v>
      </c>
      <c r="W180" s="54">
        <f t="shared" si="31"/>
        <v>91.70778459440572</v>
      </c>
      <c r="X180" s="54">
        <f t="shared" si="31"/>
        <v>97.37936475362635</v>
      </c>
    </row>
    <row r="181" spans="5:24" ht="11.25">
      <c r="E181" s="54"/>
      <c r="F181" s="54"/>
      <c r="G181" s="54"/>
      <c r="H181" s="54"/>
      <c r="I181" s="54"/>
      <c r="J181" s="54"/>
      <c r="K181" s="54"/>
      <c r="L181" s="54"/>
      <c r="M181" s="54"/>
      <c r="N181" s="54"/>
      <c r="O181" s="54"/>
      <c r="P181" s="54"/>
      <c r="Q181" s="54"/>
      <c r="R181" s="54"/>
      <c r="S181" s="54"/>
      <c r="T181" s="54"/>
      <c r="U181" s="54"/>
      <c r="V181" s="54"/>
      <c r="W181" s="54"/>
      <c r="X181" s="54"/>
    </row>
    <row r="182" spans="1:24" ht="11.25">
      <c r="A182" s="53" t="s">
        <v>466</v>
      </c>
      <c r="B182" s="551">
        <v>0.1</v>
      </c>
      <c r="E182" s="54">
        <f>E8*$B$182</f>
        <v>6.300000000000001</v>
      </c>
      <c r="F182" s="54">
        <f aca="true" t="shared" si="32" ref="F182:X182">F8*$B$182</f>
        <v>6.678000000000001</v>
      </c>
      <c r="G182" s="54">
        <f t="shared" si="32"/>
        <v>7.07868</v>
      </c>
      <c r="H182" s="54">
        <f t="shared" si="32"/>
        <v>7.5034008000000005</v>
      </c>
      <c r="I182" s="54">
        <f t="shared" si="32"/>
        <v>7.953604848000001</v>
      </c>
      <c r="J182" s="54">
        <f t="shared" si="32"/>
        <v>8.43082113888</v>
      </c>
      <c r="K182" s="54">
        <f t="shared" si="32"/>
        <v>8.9366704072128</v>
      </c>
      <c r="L182" s="54">
        <f t="shared" si="32"/>
        <v>9.472870631645568</v>
      </c>
      <c r="M182" s="54">
        <f t="shared" si="32"/>
        <v>10.041242869544304</v>
      </c>
      <c r="N182" s="54">
        <f t="shared" si="32"/>
        <v>10.643717441716962</v>
      </c>
      <c r="O182" s="54">
        <f t="shared" si="32"/>
        <v>11.28234048821998</v>
      </c>
      <c r="P182" s="54">
        <f t="shared" si="32"/>
        <v>11.95928091751318</v>
      </c>
      <c r="Q182" s="54">
        <f t="shared" si="32"/>
        <v>12.676837772563971</v>
      </c>
      <c r="R182" s="54">
        <f t="shared" si="32"/>
        <v>13.437448038917811</v>
      </c>
      <c r="S182" s="54">
        <f t="shared" si="32"/>
        <v>14.24369492125288</v>
      </c>
      <c r="T182" s="54">
        <f t="shared" si="32"/>
        <v>15.098316616528052</v>
      </c>
      <c r="U182" s="54">
        <f t="shared" si="32"/>
        <v>16.004215613519737</v>
      </c>
      <c r="V182" s="54">
        <f t="shared" si="32"/>
        <v>16.96446855033092</v>
      </c>
      <c r="W182" s="54">
        <f t="shared" si="32"/>
        <v>17.982336663350775</v>
      </c>
      <c r="X182" s="54">
        <f t="shared" si="32"/>
        <v>19.061276863151825</v>
      </c>
    </row>
    <row r="184" spans="1:25" s="548" customFormat="1" ht="11.25">
      <c r="A184" s="53" t="s">
        <v>467</v>
      </c>
      <c r="B184" s="548">
        <v>0.75</v>
      </c>
      <c r="C184" s="53"/>
      <c r="D184" s="53"/>
      <c r="E184" s="54">
        <v>0</v>
      </c>
      <c r="F184" s="54">
        <f>E184</f>
        <v>0</v>
      </c>
      <c r="G184" s="54">
        <f>F184</f>
        <v>0</v>
      </c>
      <c r="H184" s="54">
        <f>('New  WTP'!C10/10^7)*$B$184</f>
        <v>1.860615059440879</v>
      </c>
      <c r="I184" s="54">
        <f>('New  WTP'!D10/10^7)*$B$184</f>
        <v>1.957844017465897</v>
      </c>
      <c r="J184" s="54">
        <f>('New  WTP'!E10/10^7)*$B$184</f>
        <v>2.097932291387818</v>
      </c>
      <c r="K184" s="54">
        <f>('New  WTP'!F10/10^7)*$B$184</f>
        <v>2.2617772516941663</v>
      </c>
      <c r="L184" s="54">
        <f>('New  WTP'!G10/10^7)*$B$184</f>
        <v>2.3765006102768904</v>
      </c>
      <c r="M184" s="54">
        <f>('New  WTP'!H10/10^7)*$B$184</f>
        <v>2.5028422395433214</v>
      </c>
      <c r="N184" s="54">
        <f>('New  WTP'!I10/10^7)*$B$184</f>
        <v>2.6952512278908074</v>
      </c>
      <c r="O184" s="54">
        <f>('New  WTP'!J10/10^7)*$B$184</f>
        <v>2.8121206986144482</v>
      </c>
      <c r="P184" s="54">
        <f>('New  WTP'!K10/10^7)*$B$184</f>
        <v>3.0073449568989727</v>
      </c>
      <c r="Q184" s="54">
        <f>('New  WTP'!L10/10^7)*$B$184</f>
        <v>3.2368585382848964</v>
      </c>
      <c r="R184" s="54">
        <f>('New  WTP'!M10/10^7)*$B$184</f>
        <v>3.385220078786368</v>
      </c>
      <c r="S184" s="54">
        <f>('New  WTP'!N10/10^7)*$B$184</f>
        <v>3.6047961279441365</v>
      </c>
      <c r="T184" s="54">
        <f>('New  WTP'!O10/10^7)*$B$184</f>
        <v>3.8858936155576496</v>
      </c>
      <c r="U184" s="54">
        <f>('New  WTP'!P10/10^7)*$B$184</f>
        <v>4.109797239099082</v>
      </c>
      <c r="V184" s="54">
        <f>('New  WTP'!Q10/10^7)*$B$184</f>
        <v>4.430583794454476</v>
      </c>
      <c r="W184" s="54">
        <f>('New  WTP'!R10/10^7)*$B$184</f>
        <v>4.6725937099905535</v>
      </c>
      <c r="X184" s="54">
        <f>('New  WTP'!S10/10^7)*$B$184</f>
        <v>5.002979999550288</v>
      </c>
      <c r="Y184" s="566"/>
    </row>
    <row r="186" spans="1:24" ht="11.25">
      <c r="A186" s="548" t="s">
        <v>206</v>
      </c>
      <c r="B186" s="548"/>
      <c r="C186" s="548"/>
      <c r="D186" s="548"/>
      <c r="E186" s="566">
        <f>E180+E182+E184</f>
        <v>56.559108099189274</v>
      </c>
      <c r="F186" s="566">
        <f aca="true" t="shared" si="33" ref="F186:X186">F180+F182+F184</f>
        <v>61.959491050466994</v>
      </c>
      <c r="G186" s="566">
        <f t="shared" si="33"/>
        <v>70.37066617887643</v>
      </c>
      <c r="H186" s="566">
        <f t="shared" si="33"/>
        <v>42.861909281023884</v>
      </c>
      <c r="I186" s="566">
        <f t="shared" si="33"/>
        <v>45.161550418018386</v>
      </c>
      <c r="J186" s="566">
        <f t="shared" si="33"/>
        <v>47.71779888619953</v>
      </c>
      <c r="K186" s="566">
        <f t="shared" si="33"/>
        <v>50.201931597934546</v>
      </c>
      <c r="L186" s="566">
        <f t="shared" si="33"/>
        <v>53.157322633538925</v>
      </c>
      <c r="M186" s="566">
        <f t="shared" si="33"/>
        <v>55.99467151401522</v>
      </c>
      <c r="N186" s="566">
        <f t="shared" si="33"/>
        <v>71.63910153780611</v>
      </c>
      <c r="O186" s="566">
        <f t="shared" si="33"/>
        <v>75.29325895314243</v>
      </c>
      <c r="P186" s="566">
        <f t="shared" si="33"/>
        <v>79.15961018322048</v>
      </c>
      <c r="Q186" s="566">
        <f t="shared" si="33"/>
        <v>83.31052869405411</v>
      </c>
      <c r="R186" s="566">
        <f t="shared" si="33"/>
        <v>88.08343371167769</v>
      </c>
      <c r="S186" s="566">
        <f t="shared" si="33"/>
        <v>92.46777755237723</v>
      </c>
      <c r="T186" s="566">
        <f t="shared" si="33"/>
        <v>97.301684039886</v>
      </c>
      <c r="U186" s="566">
        <f t="shared" si="33"/>
        <v>102.05458633185165</v>
      </c>
      <c r="V186" s="566">
        <f t="shared" si="33"/>
        <v>107.83248336488873</v>
      </c>
      <c r="W186" s="566">
        <f t="shared" si="33"/>
        <v>114.36271496774705</v>
      </c>
      <c r="X186" s="566">
        <f t="shared" si="33"/>
        <v>121.44362161632847</v>
      </c>
    </row>
    <row r="188" spans="6:11" ht="11.25">
      <c r="F188" s="521"/>
      <c r="G188" s="521"/>
      <c r="H188" s="521"/>
      <c r="I188" s="521"/>
      <c r="J188" s="521"/>
      <c r="K188" s="521"/>
    </row>
  </sheetData>
  <sheetProtection/>
  <mergeCells count="4">
    <mergeCell ref="C32:C33"/>
    <mergeCell ref="C85:C86"/>
    <mergeCell ref="C96:C97"/>
    <mergeCell ref="C71:C72"/>
  </mergeCells>
  <dataValidations count="1">
    <dataValidation type="list" allowBlank="1" showInputMessage="1" showErrorMessage="1" sqref="C3">
      <formula1>"Rs. in Crores, Rs. in Million, Rs. in Lakhs"</formula1>
    </dataValidation>
  </dataValidations>
  <printOptions/>
  <pageMargins left="0.7" right="0.7" top="0.75" bottom="0.75" header="0.3" footer="0.3"/>
  <pageSetup horizontalDpi="600" verticalDpi="600" orientation="portrait" r:id="rId3"/>
  <legacyDrawing r:id="rId2"/>
</worksheet>
</file>

<file path=xl/worksheets/sheet10.xml><?xml version="1.0" encoding="utf-8"?>
<worksheet xmlns="http://schemas.openxmlformats.org/spreadsheetml/2006/main" xmlns:r="http://schemas.openxmlformats.org/officeDocument/2006/relationships">
  <sheetPr codeName="Sheet18"/>
  <dimension ref="A1:X20"/>
  <sheetViews>
    <sheetView showGridLines="0" zoomScalePageLayoutView="0" workbookViewId="0" topLeftCell="A1">
      <selection activeCell="A1" sqref="A1"/>
    </sheetView>
  </sheetViews>
  <sheetFormatPr defaultColWidth="9.140625" defaultRowHeight="12.75" outlineLevelRow="1"/>
  <cols>
    <col min="1" max="1" width="18.140625" style="0" customWidth="1"/>
    <col min="2" max="2" width="10.140625" style="0" customWidth="1"/>
    <col min="3" max="3" width="7.28125" style="0" customWidth="1"/>
  </cols>
  <sheetData>
    <row r="1" spans="1:4" ht="15">
      <c r="A1" s="133" t="str">
        <f>Assumptions!A1</f>
        <v>AURANGABAD WATER SUPPLY PROJECT</v>
      </c>
      <c r="B1" s="134"/>
      <c r="C1" s="134"/>
      <c r="D1" s="134"/>
    </row>
    <row r="3" spans="1:24" ht="12.75">
      <c r="A3" s="3" t="s">
        <v>98</v>
      </c>
      <c r="B3" s="3"/>
      <c r="C3" s="1"/>
      <c r="D3" s="1"/>
      <c r="E3" s="1"/>
      <c r="F3" s="1"/>
      <c r="G3" s="1"/>
      <c r="H3" s="1"/>
      <c r="I3" s="1"/>
      <c r="J3" s="1"/>
      <c r="K3" s="1"/>
      <c r="L3" s="1"/>
      <c r="M3" s="1"/>
      <c r="N3" s="1"/>
      <c r="O3" s="1"/>
      <c r="P3" s="1"/>
      <c r="Q3" s="1"/>
      <c r="R3" s="1"/>
      <c r="S3" s="1"/>
      <c r="T3" s="1"/>
      <c r="U3" s="1"/>
      <c r="V3" s="1"/>
      <c r="W3" s="1"/>
      <c r="X3" s="1"/>
    </row>
    <row r="4" spans="1:24" s="66" customFormat="1" ht="12.75">
      <c r="A4" s="8" t="str">
        <f>Assumptions!C3</f>
        <v>Rs. in Crores</v>
      </c>
      <c r="B4" s="19"/>
      <c r="C4" s="2"/>
      <c r="D4" s="2"/>
      <c r="E4" s="2"/>
      <c r="F4" s="2"/>
      <c r="G4" s="2"/>
      <c r="H4" s="2"/>
      <c r="I4" s="2"/>
      <c r="J4" s="2"/>
      <c r="K4" s="2"/>
      <c r="L4" s="2"/>
      <c r="M4" s="2"/>
      <c r="N4" s="2"/>
      <c r="O4" s="2"/>
      <c r="P4" s="2"/>
      <c r="Q4" s="2"/>
      <c r="R4" s="2"/>
      <c r="S4" s="2"/>
      <c r="T4" s="2"/>
      <c r="U4" s="2"/>
      <c r="V4" s="2"/>
      <c r="W4" s="2"/>
      <c r="X4" s="2"/>
    </row>
    <row r="5" spans="1:24" ht="12.75" outlineLevel="1">
      <c r="A5" s="1" t="s">
        <v>24</v>
      </c>
      <c r="B5" s="1"/>
      <c r="C5" s="32">
        <f>Assumptions!C146</f>
        <v>1.5</v>
      </c>
      <c r="D5" s="1"/>
      <c r="E5" s="1"/>
      <c r="F5" s="1"/>
      <c r="G5" s="1"/>
      <c r="H5" s="1"/>
      <c r="I5" s="1"/>
      <c r="J5" s="1"/>
      <c r="K5" s="1"/>
      <c r="L5" s="1"/>
      <c r="M5" s="1"/>
      <c r="N5" s="1"/>
      <c r="O5" s="1"/>
      <c r="P5" s="1"/>
      <c r="Q5" s="1"/>
      <c r="R5" s="1"/>
      <c r="S5" s="1"/>
      <c r="T5" s="1"/>
      <c r="U5" s="1"/>
      <c r="V5" s="1"/>
      <c r="W5" s="1"/>
      <c r="X5" s="1"/>
    </row>
    <row r="6" spans="1:24" ht="12.75" outlineLevel="1">
      <c r="A6" s="1" t="s">
        <v>25</v>
      </c>
      <c r="B6" s="1"/>
      <c r="C6" s="32">
        <f>Assumptions!C147</f>
        <v>1</v>
      </c>
      <c r="D6" s="1"/>
      <c r="E6" s="1"/>
      <c r="F6" s="1"/>
      <c r="G6" s="1"/>
      <c r="H6" s="1"/>
      <c r="I6" s="1"/>
      <c r="J6" s="1"/>
      <c r="K6" s="1"/>
      <c r="L6" s="1"/>
      <c r="M6" s="1"/>
      <c r="N6" s="1"/>
      <c r="O6" s="1"/>
      <c r="P6" s="1"/>
      <c r="Q6" s="1"/>
      <c r="R6" s="1"/>
      <c r="S6" s="1"/>
      <c r="T6" s="1"/>
      <c r="U6" s="1"/>
      <c r="V6" s="1"/>
      <c r="W6" s="1"/>
      <c r="X6" s="1"/>
    </row>
    <row r="7" spans="1:24" s="66" customFormat="1" ht="12.75" outlineLevel="1">
      <c r="A7" s="19"/>
      <c r="B7" s="19"/>
      <c r="C7" s="2"/>
      <c r="D7" s="2"/>
      <c r="E7" s="2"/>
      <c r="F7" s="2"/>
      <c r="G7" s="2"/>
      <c r="H7" s="2"/>
      <c r="I7" s="2"/>
      <c r="J7" s="2"/>
      <c r="K7" s="2"/>
      <c r="L7" s="2"/>
      <c r="M7" s="2"/>
      <c r="N7" s="2"/>
      <c r="O7" s="2"/>
      <c r="P7" s="2"/>
      <c r="Q7" s="2"/>
      <c r="R7" s="2"/>
      <c r="S7" s="2"/>
      <c r="T7" s="2"/>
      <c r="U7" s="2"/>
      <c r="V7" s="2"/>
      <c r="W7" s="2"/>
      <c r="X7" s="2"/>
    </row>
    <row r="8" spans="1:24" s="65" customFormat="1" ht="12.75" outlineLevel="1">
      <c r="A8" s="4" t="s">
        <v>0</v>
      </c>
      <c r="B8" s="71"/>
      <c r="C8" s="72"/>
      <c r="D8" s="72"/>
      <c r="E8" s="73">
        <f>Assumptions!E18</f>
        <v>2012</v>
      </c>
      <c r="F8" s="73">
        <f>Assumptions!F18</f>
        <v>2013</v>
      </c>
      <c r="G8" s="73">
        <f>Assumptions!G18</f>
        <v>2014</v>
      </c>
      <c r="H8" s="73">
        <f>Assumptions!H18</f>
        <v>2015</v>
      </c>
      <c r="I8" s="73">
        <f>Assumptions!I18</f>
        <v>2016</v>
      </c>
      <c r="J8" s="73">
        <f>Assumptions!J18</f>
        <v>2017</v>
      </c>
      <c r="K8" s="73">
        <f>Assumptions!K18</f>
        <v>2018</v>
      </c>
      <c r="L8" s="73">
        <f>Assumptions!L18</f>
        <v>2019</v>
      </c>
      <c r="M8" s="73">
        <f>Assumptions!M18</f>
        <v>2020</v>
      </c>
      <c r="N8" s="73">
        <f>Assumptions!N18</f>
        <v>2021</v>
      </c>
      <c r="O8" s="73">
        <f>Assumptions!O18</f>
        <v>2022</v>
      </c>
      <c r="P8" s="73">
        <f>Assumptions!P18</f>
        <v>2023</v>
      </c>
      <c r="Q8" s="73">
        <f>Assumptions!Q18</f>
        <v>2024</v>
      </c>
      <c r="R8" s="73">
        <f>Assumptions!R18</f>
        <v>2025</v>
      </c>
      <c r="S8" s="73">
        <f>Assumptions!S18</f>
        <v>2026</v>
      </c>
      <c r="T8" s="73">
        <f>Assumptions!T18</f>
        <v>2027</v>
      </c>
      <c r="U8" s="73">
        <f>Assumptions!U18</f>
        <v>2028</v>
      </c>
      <c r="V8" s="73">
        <f>Assumptions!V18</f>
        <v>2029</v>
      </c>
      <c r="W8" s="73">
        <f>Assumptions!W18</f>
        <v>2030</v>
      </c>
      <c r="X8" s="73">
        <f>Assumptions!X18</f>
        <v>2031</v>
      </c>
    </row>
    <row r="9" spans="1:24" s="65" customFormat="1" ht="12.75" outlineLevel="1">
      <c r="A9" s="4" t="s">
        <v>1</v>
      </c>
      <c r="B9" s="71"/>
      <c r="C9" s="72"/>
      <c r="D9" s="72"/>
      <c r="E9" s="73">
        <f>Assumptions!E19</f>
        <v>1</v>
      </c>
      <c r="F9" s="73">
        <f>Assumptions!F19</f>
        <v>2</v>
      </c>
      <c r="G9" s="73">
        <f>Assumptions!G19</f>
        <v>3</v>
      </c>
      <c r="H9" s="73">
        <f>Assumptions!H19</f>
        <v>4</v>
      </c>
      <c r="I9" s="73">
        <f>Assumptions!I19</f>
        <v>5</v>
      </c>
      <c r="J9" s="73">
        <f>Assumptions!J19</f>
        <v>6</v>
      </c>
      <c r="K9" s="73">
        <f>Assumptions!K19</f>
        <v>7</v>
      </c>
      <c r="L9" s="73">
        <f>Assumptions!L19</f>
        <v>8</v>
      </c>
      <c r="M9" s="73">
        <f>Assumptions!M19</f>
        <v>9</v>
      </c>
      <c r="N9" s="73">
        <f>Assumptions!N19</f>
        <v>10</v>
      </c>
      <c r="O9" s="73">
        <f>Assumptions!O19</f>
        <v>11</v>
      </c>
      <c r="P9" s="73">
        <f>Assumptions!P19</f>
        <v>12</v>
      </c>
      <c r="Q9" s="73">
        <f>Assumptions!Q19</f>
        <v>13</v>
      </c>
      <c r="R9" s="73">
        <f>Assumptions!R19</f>
        <v>14</v>
      </c>
      <c r="S9" s="73">
        <f>Assumptions!S19</f>
        <v>15</v>
      </c>
      <c r="T9" s="73">
        <f>Assumptions!T19</f>
        <v>16</v>
      </c>
      <c r="U9" s="73">
        <f>Assumptions!U19</f>
        <v>17</v>
      </c>
      <c r="V9" s="73">
        <f>Assumptions!V19</f>
        <v>18</v>
      </c>
      <c r="W9" s="73">
        <f>Assumptions!W19</f>
        <v>19</v>
      </c>
      <c r="X9" s="73">
        <f>Assumptions!X19</f>
        <v>20</v>
      </c>
    </row>
    <row r="10" spans="1:24" s="66" customFormat="1" ht="12.75" outlineLevel="1">
      <c r="A10" s="19"/>
      <c r="B10" s="19"/>
      <c r="C10" s="2"/>
      <c r="D10" s="2"/>
      <c r="E10" s="2"/>
      <c r="F10" s="2"/>
      <c r="G10" s="2"/>
      <c r="H10" s="2"/>
      <c r="I10" s="2"/>
      <c r="J10" s="2"/>
      <c r="K10" s="2"/>
      <c r="L10" s="2"/>
      <c r="M10" s="2"/>
      <c r="N10" s="2"/>
      <c r="O10" s="2"/>
      <c r="P10" s="2"/>
      <c r="Q10" s="2"/>
      <c r="R10" s="2"/>
      <c r="S10" s="2"/>
      <c r="T10" s="2"/>
      <c r="U10" s="2"/>
      <c r="V10" s="2"/>
      <c r="W10" s="2"/>
      <c r="X10" s="2"/>
    </row>
    <row r="11" spans="1:24" ht="12.75" outlineLevel="1">
      <c r="A11" s="1" t="s">
        <v>99</v>
      </c>
      <c r="B11" s="1"/>
      <c r="C11" s="1"/>
      <c r="D11" s="1"/>
      <c r="E11" s="16">
        <f>$C$5*'P&amp;L'!E9/12</f>
        <v>2.09453125</v>
      </c>
      <c r="F11" s="16">
        <f>$C$5*'P&amp;L'!F9/12</f>
        <v>2.5433593750000005</v>
      </c>
      <c r="G11" s="16">
        <f>$C$5*'P&amp;L'!G9/12</f>
        <v>2.5847441406250002</v>
      </c>
      <c r="H11" s="16">
        <f>$C$5*'P&amp;L'!H9/12</f>
        <v>5.891555976556506</v>
      </c>
      <c r="I11" s="16">
        <f>$C$5*'P&amp;L'!I9/12</f>
        <v>5.931056921952063</v>
      </c>
      <c r="J11" s="16">
        <f>$C$5*'P&amp;L'!J9/12</f>
        <v>6.333422153319298</v>
      </c>
      <c r="K11" s="16">
        <f>$C$5*'P&amp;L'!K9/12</f>
        <v>7.954654233142082</v>
      </c>
      <c r="L11" s="16">
        <f>$C$5*'P&amp;L'!L9/12</f>
        <v>9.098767480134283</v>
      </c>
      <c r="M11" s="16">
        <f>$C$5*'P&amp;L'!M9/12</f>
        <v>10.415128638322505</v>
      </c>
      <c r="N11" s="16">
        <f>$C$5*'P&amp;L'!N9/12</f>
        <v>12.991806097870102</v>
      </c>
      <c r="O11" s="16">
        <f>$C$5*'P&amp;L'!O9/12</f>
        <v>14.733082473675486</v>
      </c>
      <c r="P11" s="16">
        <f>$C$5*'P&amp;L'!P9/12</f>
        <v>15.178767499849835</v>
      </c>
      <c r="Q11" s="16">
        <f>$C$5*'P&amp;L'!Q9/12</f>
        <v>18.736025101287098</v>
      </c>
      <c r="R11" s="16">
        <f>$C$5*'P&amp;L'!R9/12</f>
        <v>22.84967133279787</v>
      </c>
      <c r="S11" s="16">
        <f>$C$5*'P&amp;L'!S9/12</f>
        <v>23.5252855585958</v>
      </c>
      <c r="T11" s="16">
        <f>$C$5*'P&amp;L'!T9/12</f>
        <v>29.266972839518857</v>
      </c>
      <c r="U11" s="16">
        <f>$C$5*'P&amp;L'!U9/12</f>
        <v>30.12426680605169</v>
      </c>
      <c r="V11" s="16">
        <f>$C$5*'P&amp;L'!V9/12</f>
        <v>31.008762479006062</v>
      </c>
      <c r="W11" s="16">
        <f>$C$5*'P&amp;L'!W9/12</f>
        <v>38.45292874697145</v>
      </c>
      <c r="X11" s="16">
        <f>$C$5*'P&amp;L'!X9/12</f>
        <v>39.57256794221402</v>
      </c>
    </row>
    <row r="12" spans="1:24" ht="12.75" outlineLevel="1">
      <c r="A12" s="1" t="s">
        <v>100</v>
      </c>
      <c r="B12" s="1"/>
      <c r="C12" s="1"/>
      <c r="D12" s="1"/>
      <c r="E12" s="16">
        <f>$C$6*'P&amp;L'!E14/12</f>
        <v>4.713259008265773</v>
      </c>
      <c r="F12" s="16">
        <f>$C$6*'P&amp;L'!F14/12</f>
        <v>5.1632909208722495</v>
      </c>
      <c r="G12" s="16">
        <f>$C$6*'P&amp;L'!G14/12</f>
        <v>5.864222181573036</v>
      </c>
      <c r="H12" s="16">
        <f>$C$6*'P&amp;L'!H14/12</f>
        <v>3.571825773418657</v>
      </c>
      <c r="I12" s="16">
        <f>$C$6*'P&amp;L'!I14/12</f>
        <v>3.7634625348348654</v>
      </c>
      <c r="J12" s="16">
        <f>$C$6*'P&amp;L'!J14/12</f>
        <v>3.9764832405166275</v>
      </c>
      <c r="K12" s="16">
        <f>$C$6*'P&amp;L'!K14/12</f>
        <v>4.183494299827879</v>
      </c>
      <c r="L12" s="16">
        <f>$C$6*'P&amp;L'!L14/12</f>
        <v>4.429776886128244</v>
      </c>
      <c r="M12" s="16">
        <f>$C$6*'P&amp;L'!M14/12</f>
        <v>4.666222626167935</v>
      </c>
      <c r="N12" s="16">
        <f>$C$6*'P&amp;L'!N14/12</f>
        <v>5.96992512815051</v>
      </c>
      <c r="O12" s="16">
        <f>$C$6*'P&amp;L'!O14/12</f>
        <v>6.274438246095202</v>
      </c>
      <c r="P12" s="16">
        <f>$C$6*'P&amp;L'!P14/12</f>
        <v>6.59663418193504</v>
      </c>
      <c r="Q12" s="16">
        <f>$C$6*'P&amp;L'!Q14/12</f>
        <v>6.942544057837843</v>
      </c>
      <c r="R12" s="16">
        <f>$C$6*'P&amp;L'!R14/12</f>
        <v>7.340286142639807</v>
      </c>
      <c r="S12" s="16">
        <f>$C$6*'P&amp;L'!S14/12</f>
        <v>7.705648129364769</v>
      </c>
      <c r="T12" s="16">
        <f>$C$6*'P&amp;L'!T14/12</f>
        <v>8.1084736699905</v>
      </c>
      <c r="U12" s="16">
        <f>$C$6*'P&amp;L'!U14/12</f>
        <v>8.504548860987638</v>
      </c>
      <c r="V12" s="16">
        <f>$C$6*'P&amp;L'!V14/12</f>
        <v>8.986040280407394</v>
      </c>
      <c r="W12" s="16">
        <f>$C$6*'P&amp;L'!W14/12</f>
        <v>9.530226247312255</v>
      </c>
      <c r="X12" s="16">
        <f>$C$6*'P&amp;L'!X14/12</f>
        <v>10.120301801360705</v>
      </c>
    </row>
    <row r="13" spans="1:24" ht="12.75" outlineLevel="1">
      <c r="A13" s="33" t="s">
        <v>101</v>
      </c>
      <c r="B13" s="33"/>
      <c r="C13" s="33"/>
      <c r="D13" s="33"/>
      <c r="E13" s="56">
        <f>E11-E12</f>
        <v>-2.6187277582657726</v>
      </c>
      <c r="F13" s="56">
        <f aca="true" t="shared" si="0" ref="F13:X13">F11-F12</f>
        <v>-2.619931545872249</v>
      </c>
      <c r="G13" s="56">
        <f t="shared" si="0"/>
        <v>-3.279478040948036</v>
      </c>
      <c r="H13" s="56">
        <f t="shared" si="0"/>
        <v>2.319730203137849</v>
      </c>
      <c r="I13" s="56">
        <f t="shared" si="0"/>
        <v>2.1675943871171977</v>
      </c>
      <c r="J13" s="56">
        <f t="shared" si="0"/>
        <v>2.3569389128026708</v>
      </c>
      <c r="K13" s="56">
        <f t="shared" si="0"/>
        <v>3.7711599333142036</v>
      </c>
      <c r="L13" s="56">
        <f t="shared" si="0"/>
        <v>4.668990594006039</v>
      </c>
      <c r="M13" s="56">
        <f t="shared" si="0"/>
        <v>5.7489060121545705</v>
      </c>
      <c r="N13" s="56">
        <f t="shared" si="0"/>
        <v>7.021880969719592</v>
      </c>
      <c r="O13" s="56">
        <f t="shared" si="0"/>
        <v>8.458644227580283</v>
      </c>
      <c r="P13" s="56">
        <f t="shared" si="0"/>
        <v>8.582133317914796</v>
      </c>
      <c r="Q13" s="56">
        <f t="shared" si="0"/>
        <v>11.793481043449255</v>
      </c>
      <c r="R13" s="56">
        <f t="shared" si="0"/>
        <v>15.509385190158063</v>
      </c>
      <c r="S13" s="56">
        <f t="shared" si="0"/>
        <v>15.819637429231033</v>
      </c>
      <c r="T13" s="56">
        <f t="shared" si="0"/>
        <v>21.158499169528355</v>
      </c>
      <c r="U13" s="56">
        <f t="shared" si="0"/>
        <v>21.619717945064053</v>
      </c>
      <c r="V13" s="56">
        <f t="shared" si="0"/>
        <v>22.022722198598668</v>
      </c>
      <c r="W13" s="56">
        <f t="shared" si="0"/>
        <v>28.922702499659195</v>
      </c>
      <c r="X13" s="56">
        <f t="shared" si="0"/>
        <v>29.452266140853318</v>
      </c>
    </row>
    <row r="14" spans="1:24" ht="12.75" outlineLevel="1">
      <c r="A14" s="1"/>
      <c r="B14" s="1"/>
      <c r="C14" s="1"/>
      <c r="D14" s="1"/>
      <c r="E14" s="1"/>
      <c r="F14" s="1"/>
      <c r="G14" s="1"/>
      <c r="H14" s="1"/>
      <c r="I14" s="1"/>
      <c r="J14" s="1"/>
      <c r="K14" s="1"/>
      <c r="L14" s="1"/>
      <c r="M14" s="1"/>
      <c r="N14" s="1"/>
      <c r="O14" s="1"/>
      <c r="P14" s="1"/>
      <c r="Q14" s="1"/>
      <c r="R14" s="1"/>
      <c r="S14" s="1"/>
      <c r="T14" s="1"/>
      <c r="U14" s="1"/>
      <c r="V14" s="1"/>
      <c r="W14" s="1"/>
      <c r="X14" s="1"/>
    </row>
    <row r="15" spans="1:24" ht="12.75" outlineLevel="1">
      <c r="A15" s="57" t="s">
        <v>102</v>
      </c>
      <c r="B15" s="57"/>
      <c r="C15" s="25">
        <f>Assumptions!C148</f>
        <v>0.25</v>
      </c>
      <c r="D15" s="1"/>
      <c r="E15" s="498">
        <f aca="true" t="shared" si="1" ref="E15:X15">IF(E13&lt;=0,0,IF($C$15*E11&lt;E13,$C$15*E11,(E13)))</f>
        <v>0</v>
      </c>
      <c r="F15" s="498">
        <f t="shared" si="1"/>
        <v>0</v>
      </c>
      <c r="G15" s="498">
        <f t="shared" si="1"/>
        <v>0</v>
      </c>
      <c r="H15" s="32">
        <f t="shared" si="1"/>
        <v>1.4728889941391266</v>
      </c>
      <c r="I15" s="32">
        <f t="shared" si="1"/>
        <v>1.4827642304880158</v>
      </c>
      <c r="J15" s="32">
        <f t="shared" si="1"/>
        <v>1.5833555383298246</v>
      </c>
      <c r="K15" s="32">
        <f t="shared" si="1"/>
        <v>1.9886635582855205</v>
      </c>
      <c r="L15" s="32">
        <f t="shared" si="1"/>
        <v>2.2746918700335708</v>
      </c>
      <c r="M15" s="32">
        <f t="shared" si="1"/>
        <v>2.6037821595806263</v>
      </c>
      <c r="N15" s="32">
        <f t="shared" si="1"/>
        <v>3.2479515244675254</v>
      </c>
      <c r="O15" s="32">
        <f t="shared" si="1"/>
        <v>3.6832706184188715</v>
      </c>
      <c r="P15" s="32">
        <f t="shared" si="1"/>
        <v>3.7946918749624587</v>
      </c>
      <c r="Q15" s="32">
        <f t="shared" si="1"/>
        <v>4.684006275321774</v>
      </c>
      <c r="R15" s="32">
        <f t="shared" si="1"/>
        <v>5.712417833199468</v>
      </c>
      <c r="S15" s="32">
        <f t="shared" si="1"/>
        <v>5.88132138964895</v>
      </c>
      <c r="T15" s="32">
        <f t="shared" si="1"/>
        <v>7.316743209879714</v>
      </c>
      <c r="U15" s="32">
        <f t="shared" si="1"/>
        <v>7.5310667015129225</v>
      </c>
      <c r="V15" s="32">
        <f t="shared" si="1"/>
        <v>7.752190619751516</v>
      </c>
      <c r="W15" s="32">
        <f t="shared" si="1"/>
        <v>9.613232186742863</v>
      </c>
      <c r="X15" s="32">
        <f t="shared" si="1"/>
        <v>9.893141985553505</v>
      </c>
    </row>
    <row r="16" spans="1:24" s="131" customFormat="1" ht="12.75" outlineLevel="1">
      <c r="A16" s="128" t="s">
        <v>103</v>
      </c>
      <c r="B16" s="128"/>
      <c r="C16" s="128"/>
      <c r="D16" s="128"/>
      <c r="E16" s="130">
        <f>IF(E13-E15&lt;0,0,E13-E15)</f>
        <v>0</v>
      </c>
      <c r="F16" s="130">
        <f aca="true" t="shared" si="2" ref="F16:X16">IF(F13-F15&lt;0,0,F13-F15)</f>
        <v>0</v>
      </c>
      <c r="G16" s="130">
        <f t="shared" si="2"/>
        <v>0</v>
      </c>
      <c r="H16" s="130">
        <f t="shared" si="2"/>
        <v>0.8468412089987225</v>
      </c>
      <c r="I16" s="130">
        <f t="shared" si="2"/>
        <v>0.6848301566291819</v>
      </c>
      <c r="J16" s="130">
        <f t="shared" si="2"/>
        <v>0.7735833744728462</v>
      </c>
      <c r="K16" s="130">
        <f t="shared" si="2"/>
        <v>1.782496375028683</v>
      </c>
      <c r="L16" s="130">
        <f t="shared" si="2"/>
        <v>2.3942987239724682</v>
      </c>
      <c r="M16" s="130">
        <f t="shared" si="2"/>
        <v>3.1451238525739442</v>
      </c>
      <c r="N16" s="130">
        <f t="shared" si="2"/>
        <v>3.7739294452520666</v>
      </c>
      <c r="O16" s="130">
        <f t="shared" si="2"/>
        <v>4.775373609161411</v>
      </c>
      <c r="P16" s="130">
        <f t="shared" si="2"/>
        <v>4.787441442952337</v>
      </c>
      <c r="Q16" s="130">
        <f t="shared" si="2"/>
        <v>7.10947476812748</v>
      </c>
      <c r="R16" s="130">
        <f t="shared" si="2"/>
        <v>9.796967356958596</v>
      </c>
      <c r="S16" s="130">
        <f t="shared" si="2"/>
        <v>9.938316039582084</v>
      </c>
      <c r="T16" s="130">
        <f t="shared" si="2"/>
        <v>13.84175595964864</v>
      </c>
      <c r="U16" s="130">
        <f t="shared" si="2"/>
        <v>14.08865124355113</v>
      </c>
      <c r="V16" s="130">
        <f t="shared" si="2"/>
        <v>14.270531578847152</v>
      </c>
      <c r="W16" s="130">
        <f t="shared" si="2"/>
        <v>19.309470312916332</v>
      </c>
      <c r="X16" s="130">
        <f t="shared" si="2"/>
        <v>19.559124155299813</v>
      </c>
    </row>
    <row r="17" spans="1:24" ht="12.75" outlineLevel="1">
      <c r="A17" s="17" t="s">
        <v>104</v>
      </c>
      <c r="B17" s="17"/>
      <c r="C17" s="58">
        <f>Assumptions!C149</f>
        <v>0.125</v>
      </c>
      <c r="D17" s="17"/>
      <c r="E17" s="59">
        <f>$C$17*E16</f>
        <v>0</v>
      </c>
      <c r="F17" s="59">
        <f aca="true" t="shared" si="3" ref="F17:X17">$C$17*F16</f>
        <v>0</v>
      </c>
      <c r="G17" s="59">
        <f t="shared" si="3"/>
        <v>0</v>
      </c>
      <c r="H17" s="59">
        <f t="shared" si="3"/>
        <v>0.10585515112484031</v>
      </c>
      <c r="I17" s="59">
        <f t="shared" si="3"/>
        <v>0.08560376957864774</v>
      </c>
      <c r="J17" s="59">
        <f t="shared" si="3"/>
        <v>0.09669792180910577</v>
      </c>
      <c r="K17" s="59">
        <f t="shared" si="3"/>
        <v>0.22281204687858538</v>
      </c>
      <c r="L17" s="59">
        <f t="shared" si="3"/>
        <v>0.29928734049655853</v>
      </c>
      <c r="M17" s="59">
        <f t="shared" si="3"/>
        <v>0.39314048157174303</v>
      </c>
      <c r="N17" s="59">
        <f t="shared" si="3"/>
        <v>0.47174118065650833</v>
      </c>
      <c r="O17" s="59">
        <f t="shared" si="3"/>
        <v>0.5969217011451764</v>
      </c>
      <c r="P17" s="59">
        <f t="shared" si="3"/>
        <v>0.5984301803690422</v>
      </c>
      <c r="Q17" s="59">
        <f t="shared" si="3"/>
        <v>0.888684346015935</v>
      </c>
      <c r="R17" s="59">
        <f t="shared" si="3"/>
        <v>1.2246209196198246</v>
      </c>
      <c r="S17" s="59">
        <f t="shared" si="3"/>
        <v>1.2422895049477605</v>
      </c>
      <c r="T17" s="59">
        <f t="shared" si="3"/>
        <v>1.73021949495608</v>
      </c>
      <c r="U17" s="59">
        <f t="shared" si="3"/>
        <v>1.7610814054438912</v>
      </c>
      <c r="V17" s="59">
        <f t="shared" si="3"/>
        <v>1.783816447355894</v>
      </c>
      <c r="W17" s="59">
        <f t="shared" si="3"/>
        <v>2.4136837891145415</v>
      </c>
      <c r="X17" s="59">
        <f t="shared" si="3"/>
        <v>2.4448905194124766</v>
      </c>
    </row>
    <row r="19" spans="1:24" ht="12.75" outlineLevel="1">
      <c r="A19" s="36" t="s">
        <v>429</v>
      </c>
      <c r="B19" s="36"/>
      <c r="C19" s="36"/>
      <c r="D19" s="36"/>
      <c r="E19" s="451">
        <f>E15</f>
        <v>0</v>
      </c>
      <c r="F19" s="451">
        <f aca="true" t="shared" si="4" ref="F19:X19">F15</f>
        <v>0</v>
      </c>
      <c r="G19" s="451">
        <f t="shared" si="4"/>
        <v>0</v>
      </c>
      <c r="H19" s="451">
        <f t="shared" si="4"/>
        <v>1.4728889941391266</v>
      </c>
      <c r="I19" s="451">
        <f t="shared" si="4"/>
        <v>1.4827642304880158</v>
      </c>
      <c r="J19" s="451">
        <f t="shared" si="4"/>
        <v>1.5833555383298246</v>
      </c>
      <c r="K19" s="451">
        <f t="shared" si="4"/>
        <v>1.9886635582855205</v>
      </c>
      <c r="L19" s="451">
        <f t="shared" si="4"/>
        <v>2.2746918700335708</v>
      </c>
      <c r="M19" s="451">
        <f t="shared" si="4"/>
        <v>2.6037821595806263</v>
      </c>
      <c r="N19" s="451">
        <f t="shared" si="4"/>
        <v>3.2479515244675254</v>
      </c>
      <c r="O19" s="451">
        <f t="shared" si="4"/>
        <v>3.6832706184188715</v>
      </c>
      <c r="P19" s="451">
        <f t="shared" si="4"/>
        <v>3.7946918749624587</v>
      </c>
      <c r="Q19" s="451">
        <f t="shared" si="4"/>
        <v>4.684006275321774</v>
      </c>
      <c r="R19" s="451">
        <f t="shared" si="4"/>
        <v>5.712417833199468</v>
      </c>
      <c r="S19" s="451">
        <f t="shared" si="4"/>
        <v>5.88132138964895</v>
      </c>
      <c r="T19" s="451">
        <f t="shared" si="4"/>
        <v>7.316743209879714</v>
      </c>
      <c r="U19" s="451">
        <f t="shared" si="4"/>
        <v>7.5310667015129225</v>
      </c>
      <c r="V19" s="451">
        <f t="shared" si="4"/>
        <v>7.752190619751516</v>
      </c>
      <c r="W19" s="451">
        <f t="shared" si="4"/>
        <v>9.613232186742863</v>
      </c>
      <c r="X19" s="451">
        <f t="shared" si="4"/>
        <v>9.893141985553505</v>
      </c>
    </row>
    <row r="20" spans="1:24" ht="12.75" outlineLevel="1">
      <c r="A20" s="450" t="s">
        <v>430</v>
      </c>
      <c r="B20" s="450"/>
      <c r="C20" s="450"/>
      <c r="D20" s="450"/>
      <c r="E20" s="452">
        <v>0</v>
      </c>
      <c r="F20" s="452">
        <v>0</v>
      </c>
      <c r="G20" s="452">
        <v>0</v>
      </c>
      <c r="H20" s="452">
        <v>0</v>
      </c>
      <c r="I20" s="452">
        <v>0</v>
      </c>
      <c r="J20" s="452">
        <v>0</v>
      </c>
      <c r="K20" s="452">
        <v>0</v>
      </c>
      <c r="L20" s="452">
        <v>0</v>
      </c>
      <c r="M20" s="452">
        <v>0</v>
      </c>
      <c r="N20" s="452">
        <v>0</v>
      </c>
      <c r="O20" s="452">
        <v>0</v>
      </c>
      <c r="P20" s="452">
        <v>0</v>
      </c>
      <c r="Q20" s="452">
        <v>0</v>
      </c>
      <c r="R20" s="452">
        <v>0</v>
      </c>
      <c r="S20" s="452">
        <v>0</v>
      </c>
      <c r="T20" s="452">
        <v>0</v>
      </c>
      <c r="U20" s="452">
        <v>0</v>
      </c>
      <c r="V20" s="452">
        <v>0</v>
      </c>
      <c r="W20" s="452">
        <v>0</v>
      </c>
      <c r="X20" s="452">
        <v>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9"/>
  <dimension ref="A1:AD39"/>
  <sheetViews>
    <sheetView showGridLines="0" zoomScalePageLayoutView="0" workbookViewId="0" topLeftCell="A1">
      <selection activeCell="F8" sqref="F8"/>
    </sheetView>
  </sheetViews>
  <sheetFormatPr defaultColWidth="0" defaultRowHeight="12.75" outlineLevelRow="1"/>
  <cols>
    <col min="1" max="1" width="35.57421875" style="107" bestFit="1" customWidth="1"/>
    <col min="2" max="2" width="10.00390625" style="107" customWidth="1"/>
    <col min="3" max="3" width="7.28125" style="107" customWidth="1"/>
    <col min="4" max="4" width="7.8515625" style="107" bestFit="1" customWidth="1"/>
    <col min="5" max="5" width="7.28125" style="107" customWidth="1"/>
    <col min="6" max="17" width="11.57421875" style="107" bestFit="1" customWidth="1"/>
    <col min="18" max="24" width="11.57421875" style="107" customWidth="1"/>
    <col min="25" max="25" width="9.140625" style="107" customWidth="1"/>
    <col min="26" max="16384" width="0" style="107" hidden="1" customWidth="1"/>
  </cols>
  <sheetData>
    <row r="1" spans="1:2" ht="15">
      <c r="A1" s="133" t="str">
        <f>Assumptions!A1</f>
        <v>AURANGABAD WATER SUPPLY PROJECT</v>
      </c>
      <c r="B1" s="134"/>
    </row>
    <row r="3" spans="1:4" ht="11.25">
      <c r="A3" s="114" t="s">
        <v>105</v>
      </c>
      <c r="B3" s="114"/>
      <c r="C3" s="119"/>
      <c r="D3" s="119"/>
    </row>
    <row r="4" spans="1:24" ht="11.25">
      <c r="A4" s="120" t="str">
        <f>Assumptions!C3</f>
        <v>Rs. in Crores</v>
      </c>
      <c r="B4" s="108"/>
      <c r="C4" s="108"/>
      <c r="Q4" s="109"/>
      <c r="R4" s="109"/>
      <c r="S4" s="109"/>
      <c r="T4" s="109"/>
      <c r="U4" s="109"/>
      <c r="V4" s="109"/>
      <c r="W4" s="109"/>
      <c r="X4" s="109"/>
    </row>
    <row r="5" spans="1:30" s="6" customFormat="1" ht="11.25" outlineLevel="1">
      <c r="A5" s="43" t="s">
        <v>0</v>
      </c>
      <c r="B5" s="71"/>
      <c r="C5" s="72"/>
      <c r="D5" s="72"/>
      <c r="E5" s="73">
        <f>Assumptions!E18</f>
        <v>2012</v>
      </c>
      <c r="F5" s="73">
        <f>Assumptions!F18</f>
        <v>2013</v>
      </c>
      <c r="G5" s="73">
        <f>Assumptions!G18</f>
        <v>2014</v>
      </c>
      <c r="H5" s="73">
        <f>Assumptions!H18</f>
        <v>2015</v>
      </c>
      <c r="I5" s="73">
        <f>Assumptions!I18</f>
        <v>2016</v>
      </c>
      <c r="J5" s="73">
        <f>Assumptions!J18</f>
        <v>2017</v>
      </c>
      <c r="K5" s="73">
        <f>Assumptions!K18</f>
        <v>2018</v>
      </c>
      <c r="L5" s="73">
        <f>Assumptions!L18</f>
        <v>2019</v>
      </c>
      <c r="M5" s="73">
        <f>Assumptions!M18</f>
        <v>2020</v>
      </c>
      <c r="N5" s="73">
        <f>Assumptions!N18</f>
        <v>2021</v>
      </c>
      <c r="O5" s="73">
        <f>Assumptions!O18</f>
        <v>2022</v>
      </c>
      <c r="P5" s="73">
        <f>Assumptions!P18</f>
        <v>2023</v>
      </c>
      <c r="Q5" s="73">
        <f>Assumptions!Q18</f>
        <v>2024</v>
      </c>
      <c r="R5" s="73">
        <f>Assumptions!R18</f>
        <v>2025</v>
      </c>
      <c r="S5" s="73">
        <f>Assumptions!S18</f>
        <v>2026</v>
      </c>
      <c r="T5" s="73">
        <f>Assumptions!T18</f>
        <v>2027</v>
      </c>
      <c r="U5" s="73">
        <f>Assumptions!U18</f>
        <v>2028</v>
      </c>
      <c r="V5" s="73">
        <f>Assumptions!V18</f>
        <v>2029</v>
      </c>
      <c r="W5" s="73">
        <f>Assumptions!W18</f>
        <v>2030</v>
      </c>
      <c r="X5" s="73">
        <f>Assumptions!X18</f>
        <v>2031</v>
      </c>
      <c r="Y5" s="74"/>
      <c r="Z5" s="73"/>
      <c r="AA5" s="73"/>
      <c r="AB5" s="73"/>
      <c r="AC5" s="73"/>
      <c r="AD5" s="73"/>
    </row>
    <row r="6" spans="1:30" s="6" customFormat="1" ht="11.25" outlineLevel="1">
      <c r="A6" s="43" t="s">
        <v>1</v>
      </c>
      <c r="B6" s="71"/>
      <c r="C6" s="72"/>
      <c r="D6" s="72"/>
      <c r="E6" s="73">
        <f>Assumptions!E19</f>
        <v>1</v>
      </c>
      <c r="F6" s="73">
        <f>Assumptions!F19</f>
        <v>2</v>
      </c>
      <c r="G6" s="73">
        <f>Assumptions!G19</f>
        <v>3</v>
      </c>
      <c r="H6" s="73">
        <f>Assumptions!H19</f>
        <v>4</v>
      </c>
      <c r="I6" s="73">
        <f>Assumptions!I19</f>
        <v>5</v>
      </c>
      <c r="J6" s="73">
        <f>Assumptions!J19</f>
        <v>6</v>
      </c>
      <c r="K6" s="73">
        <f>Assumptions!K19</f>
        <v>7</v>
      </c>
      <c r="L6" s="73">
        <f>Assumptions!L19</f>
        <v>8</v>
      </c>
      <c r="M6" s="73">
        <f>Assumptions!M19</f>
        <v>9</v>
      </c>
      <c r="N6" s="73">
        <f>Assumptions!N19</f>
        <v>10</v>
      </c>
      <c r="O6" s="73">
        <f>Assumptions!O19</f>
        <v>11</v>
      </c>
      <c r="P6" s="73">
        <f>Assumptions!P19</f>
        <v>12</v>
      </c>
      <c r="Q6" s="73">
        <f>Assumptions!Q19</f>
        <v>13</v>
      </c>
      <c r="R6" s="73">
        <f>Assumptions!R19</f>
        <v>14</v>
      </c>
      <c r="S6" s="73">
        <f>Assumptions!S19</f>
        <v>15</v>
      </c>
      <c r="T6" s="73">
        <f>Assumptions!T19</f>
        <v>16</v>
      </c>
      <c r="U6" s="73">
        <f>Assumptions!U19</f>
        <v>17</v>
      </c>
      <c r="V6" s="73">
        <f>Assumptions!V19</f>
        <v>18</v>
      </c>
      <c r="W6" s="73">
        <f>Assumptions!W19</f>
        <v>19</v>
      </c>
      <c r="X6" s="73">
        <f>Assumptions!X19</f>
        <v>20</v>
      </c>
      <c r="Y6" s="74"/>
      <c r="Z6" s="73"/>
      <c r="AA6" s="73"/>
      <c r="AB6" s="73"/>
      <c r="AC6" s="73"/>
      <c r="AD6" s="73"/>
    </row>
    <row r="7" ht="11.25" outlineLevel="1"/>
    <row r="8" spans="1:25" ht="11.25" outlineLevel="1">
      <c r="A8" s="120" t="s">
        <v>34</v>
      </c>
      <c r="B8" s="120"/>
      <c r="C8" s="120"/>
      <c r="D8" s="120"/>
      <c r="E8" s="124">
        <f>'P&amp;L'!E28</f>
        <v>8.86568822168989</v>
      </c>
      <c r="F8" s="124">
        <f>'P&amp;L'!F28</f>
        <v>-5.25028583769825</v>
      </c>
      <c r="G8" s="124">
        <f>'P&amp;L'!G28</f>
        <v>-13.128838673487543</v>
      </c>
      <c r="H8" s="124">
        <f>'P&amp;L'!H28</f>
        <v>-0.7224635870358114</v>
      </c>
      <c r="I8" s="124">
        <f>'P&amp;L'!I28</f>
        <v>6.913045212177778</v>
      </c>
      <c r="J8" s="124">
        <f>'P&amp;L'!J28</f>
        <v>17.433637863001465</v>
      </c>
      <c r="K8" s="124">
        <f>'P&amp;L'!K28</f>
        <v>37.698590859604664</v>
      </c>
      <c r="L8" s="124">
        <f>'P&amp;L'!L28</f>
        <v>54.003483262145</v>
      </c>
      <c r="M8" s="124">
        <f>'P&amp;L'!M28</f>
        <v>72.08249339658406</v>
      </c>
      <c r="N8" s="124">
        <f>'P&amp;L'!N28</f>
        <v>87.76566608331319</v>
      </c>
      <c r="O8" s="124">
        <f>'P&amp;L'!O28</f>
        <v>109.04186700545887</v>
      </c>
      <c r="P8" s="124">
        <f>'P&amp;L'!P28</f>
        <v>120.21760152873114</v>
      </c>
      <c r="Q8" s="124">
        <f>'P&amp;L'!Q28</f>
        <v>153.41343564969284</v>
      </c>
      <c r="R8" s="124">
        <f>'P&amp;L'!R28</f>
        <v>188.11631636276184</v>
      </c>
      <c r="S8" s="124">
        <f>'P&amp;L'!S28</f>
        <v>196.44295884457392</v>
      </c>
      <c r="T8" s="124">
        <f>'P&amp;L'!T28</f>
        <v>244.82517345920374</v>
      </c>
      <c r="U8" s="124">
        <f>'P&amp;L'!U28</f>
        <v>255.14430364554104</v>
      </c>
      <c r="V8" s="124">
        <f>'P&amp;L'!V28</f>
        <v>265.1669966432807</v>
      </c>
      <c r="W8" s="124">
        <f>'P&amp;L'!W28</f>
        <v>326.84098080957426</v>
      </c>
      <c r="X8" s="124">
        <f>'P&amp;L'!X28</f>
        <v>338.53255841948436</v>
      </c>
      <c r="Y8" s="124"/>
    </row>
    <row r="9" spans="1:24" ht="11.25" outlineLevel="1">
      <c r="A9" s="107" t="s">
        <v>119</v>
      </c>
      <c r="E9" s="110">
        <f>Depreciation!E26</f>
        <v>14.33145367912083</v>
      </c>
      <c r="F9" s="110">
        <f>Depreciation!F26</f>
        <v>30.41766978723127</v>
      </c>
      <c r="G9" s="110">
        <f>Depreciation!G26</f>
        <v>34.22292561961111</v>
      </c>
      <c r="H9" s="110">
        <f>Depreciation!H26</f>
        <v>34.47292561961111</v>
      </c>
      <c r="I9" s="110">
        <f>Depreciation!I26</f>
        <v>34.72292561961111</v>
      </c>
      <c r="J9" s="110">
        <f>Depreciation!J26</f>
        <v>34.97292561961111</v>
      </c>
      <c r="K9" s="110">
        <f>Depreciation!K26</f>
        <v>35.47292561961111</v>
      </c>
      <c r="L9" s="110">
        <f>Depreciation!L26</f>
        <v>35.99792561961111</v>
      </c>
      <c r="M9" s="110">
        <f>Depreciation!M26</f>
        <v>36.549175619611106</v>
      </c>
      <c r="N9" s="110">
        <f>Depreciation!N26</f>
        <v>37.1279881196111</v>
      </c>
      <c r="O9" s="110">
        <f>Depreciation!O26</f>
        <v>37.735741244611106</v>
      </c>
      <c r="P9" s="110">
        <f>Depreciation!P26</f>
        <v>38.37388202586111</v>
      </c>
      <c r="Q9" s="110">
        <f>Depreciation!Q26</f>
        <v>39.043929846173604</v>
      </c>
      <c r="R9" s="110">
        <f>Depreciation!R26</f>
        <v>39.74748005750173</v>
      </c>
      <c r="S9" s="110">
        <f>Depreciation!S26</f>
        <v>40.48620777939627</v>
      </c>
      <c r="T9" s="110">
        <f>Depreciation!T26</f>
        <v>41.261871887385524</v>
      </c>
      <c r="U9" s="110">
        <f>Depreciation!U26</f>
        <v>42.07631920077424</v>
      </c>
      <c r="V9" s="110">
        <f>Depreciation!V26</f>
        <v>42.9314888798324</v>
      </c>
      <c r="W9" s="110">
        <f>Depreciation!W26</f>
        <v>43.82941704284347</v>
      </c>
      <c r="X9" s="110">
        <f>Depreciation!X26</f>
        <v>44.77224161400508</v>
      </c>
    </row>
    <row r="10" spans="1:24" s="125" customFormat="1" ht="11.25" outlineLevel="1">
      <c r="A10" s="125" t="s">
        <v>120</v>
      </c>
      <c r="E10" s="126">
        <f>E8+E9</f>
        <v>23.19714190081072</v>
      </c>
      <c r="F10" s="126">
        <f>F8+F9</f>
        <v>25.16738394953302</v>
      </c>
      <c r="G10" s="126">
        <f aca="true" t="shared" si="0" ref="G10:X10">G8+G9</f>
        <v>21.094086946123568</v>
      </c>
      <c r="H10" s="126">
        <f t="shared" si="0"/>
        <v>33.7504620325753</v>
      </c>
      <c r="I10" s="126">
        <f t="shared" si="0"/>
        <v>41.63597083178889</v>
      </c>
      <c r="J10" s="126">
        <f t="shared" si="0"/>
        <v>52.406563482612576</v>
      </c>
      <c r="K10" s="126">
        <f t="shared" si="0"/>
        <v>73.17151647921577</v>
      </c>
      <c r="L10" s="126">
        <f t="shared" si="0"/>
        <v>90.0014088817561</v>
      </c>
      <c r="M10" s="126">
        <f t="shared" si="0"/>
        <v>108.63166901619516</v>
      </c>
      <c r="N10" s="126">
        <f t="shared" si="0"/>
        <v>124.8936542029243</v>
      </c>
      <c r="O10" s="126">
        <f t="shared" si="0"/>
        <v>146.77760825007</v>
      </c>
      <c r="P10" s="126">
        <f t="shared" si="0"/>
        <v>158.59148355459223</v>
      </c>
      <c r="Q10" s="126">
        <f t="shared" si="0"/>
        <v>192.45736549586644</v>
      </c>
      <c r="R10" s="126">
        <f t="shared" si="0"/>
        <v>227.86379642026355</v>
      </c>
      <c r="S10" s="126">
        <f t="shared" si="0"/>
        <v>236.9291666239702</v>
      </c>
      <c r="T10" s="126">
        <f t="shared" si="0"/>
        <v>286.08704534658926</v>
      </c>
      <c r="U10" s="126">
        <f t="shared" si="0"/>
        <v>297.2206228463153</v>
      </c>
      <c r="V10" s="126">
        <f t="shared" si="0"/>
        <v>308.0984855231131</v>
      </c>
      <c r="W10" s="126">
        <f t="shared" si="0"/>
        <v>370.67039785241775</v>
      </c>
      <c r="X10" s="126">
        <f t="shared" si="0"/>
        <v>383.3048000334894</v>
      </c>
    </row>
    <row r="11" spans="1:24" ht="11.25" outlineLevel="1">
      <c r="A11" s="107" t="s">
        <v>121</v>
      </c>
      <c r="E11" s="110">
        <f>Depreciation!E52</f>
        <v>29.986632908427875</v>
      </c>
      <c r="F11" s="110">
        <f>Depreciation!F52</f>
        <v>60.447647284980604</v>
      </c>
      <c r="G11" s="110">
        <f>Depreciation!G52</f>
        <v>61.973221246671464</v>
      </c>
      <c r="H11" s="110">
        <f>Depreciation!H52</f>
        <v>55.91337068248389</v>
      </c>
      <c r="I11" s="110">
        <f>Depreciation!I52</f>
        <v>50.51388444064312</v>
      </c>
      <c r="J11" s="110">
        <f>Depreciation!J52</f>
        <v>45.700569199025296</v>
      </c>
      <c r="K11" s="110">
        <f>Depreciation!K52</f>
        <v>41.930965765700364</v>
      </c>
      <c r="L11" s="110">
        <f>Depreciation!L52</f>
        <v>38.620563779171086</v>
      </c>
      <c r="M11" s="110">
        <f>Depreciation!M52</f>
        <v>35.72122238556092</v>
      </c>
      <c r="N11" s="110">
        <f>Depreciation!N52</f>
        <v>33.19045369557664</v>
      </c>
      <c r="O11" s="110">
        <f>Depreciation!O52</f>
        <v>30.990756944811487</v>
      </c>
      <c r="P11" s="110">
        <f>Depreciation!P52</f>
        <v>29.089035583935747</v>
      </c>
      <c r="Q11" s="110">
        <f>Depreciation!Q52</f>
        <v>27.45608661712014</v>
      </c>
      <c r="R11" s="110">
        <f>Depreciation!R52</f>
        <v>26.06615293666344</v>
      </c>
      <c r="S11" s="110">
        <f>Depreciation!S52</f>
        <v>24.896530634398857</v>
      </c>
      <c r="T11" s="110">
        <f>Depreciation!T52</f>
        <v>23.927224333851946</v>
      </c>
      <c r="U11" s="110">
        <f>Depreciation!U52</f>
        <v>23.14064450513733</v>
      </c>
      <c r="V11" s="110">
        <f>Depreciation!V52</f>
        <v>22.521341517615717</v>
      </c>
      <c r="W11" s="110">
        <f>Depreciation!W52</f>
        <v>22.05577187087069</v>
      </c>
      <c r="X11" s="110">
        <f>Depreciation!X52</f>
        <v>21.732092637594576</v>
      </c>
    </row>
    <row r="12" spans="1:24" ht="11.25" outlineLevel="1">
      <c r="A12" s="107" t="s">
        <v>122</v>
      </c>
      <c r="E12" s="110">
        <f>E10-E11</f>
        <v>-6.789491007617155</v>
      </c>
      <c r="F12" s="110">
        <f>F10-F11</f>
        <v>-35.280263335447586</v>
      </c>
      <c r="G12" s="110">
        <f aca="true" t="shared" si="1" ref="G12:X12">G10-G11</f>
        <v>-40.879134300547896</v>
      </c>
      <c r="H12" s="110">
        <f t="shared" si="1"/>
        <v>-22.162908649908587</v>
      </c>
      <c r="I12" s="110">
        <f t="shared" si="1"/>
        <v>-8.877913608854229</v>
      </c>
      <c r="J12" s="110">
        <f t="shared" si="1"/>
        <v>6.70599428358728</v>
      </c>
      <c r="K12" s="110">
        <f t="shared" si="1"/>
        <v>31.240550713515404</v>
      </c>
      <c r="L12" s="110">
        <f t="shared" si="1"/>
        <v>51.38084510258502</v>
      </c>
      <c r="M12" s="110">
        <f t="shared" si="1"/>
        <v>72.91044663063424</v>
      </c>
      <c r="N12" s="110">
        <f t="shared" si="1"/>
        <v>91.70320050734765</v>
      </c>
      <c r="O12" s="110">
        <f t="shared" si="1"/>
        <v>115.7868513052585</v>
      </c>
      <c r="P12" s="110">
        <f t="shared" si="1"/>
        <v>129.50244797065648</v>
      </c>
      <c r="Q12" s="110">
        <f t="shared" si="1"/>
        <v>165.0012788787463</v>
      </c>
      <c r="R12" s="110">
        <f t="shared" si="1"/>
        <v>201.79764348360013</v>
      </c>
      <c r="S12" s="110">
        <f t="shared" si="1"/>
        <v>212.03263598957133</v>
      </c>
      <c r="T12" s="110">
        <f t="shared" si="1"/>
        <v>262.1598210127373</v>
      </c>
      <c r="U12" s="110">
        <f t="shared" si="1"/>
        <v>274.07997834117793</v>
      </c>
      <c r="V12" s="110">
        <f t="shared" si="1"/>
        <v>285.57714400549736</v>
      </c>
      <c r="W12" s="110">
        <f t="shared" si="1"/>
        <v>348.6146259815471</v>
      </c>
      <c r="X12" s="110">
        <f t="shared" si="1"/>
        <v>361.57270739589484</v>
      </c>
    </row>
    <row r="13" spans="1:24" ht="11.25" outlineLevel="1">
      <c r="A13" s="107" t="s">
        <v>123</v>
      </c>
      <c r="E13" s="110">
        <f>E31*-1</f>
        <v>0</v>
      </c>
      <c r="F13" s="110">
        <f>F31*-1</f>
        <v>0</v>
      </c>
      <c r="G13" s="110">
        <f>G31*-1</f>
        <v>0</v>
      </c>
      <c r="H13" s="110">
        <f aca="true" t="shared" si="2" ref="H13:X13">H31*-1</f>
        <v>0</v>
      </c>
      <c r="I13" s="110">
        <f t="shared" si="2"/>
        <v>0</v>
      </c>
      <c r="J13" s="110">
        <f t="shared" si="2"/>
        <v>-6.70599428358728</v>
      </c>
      <c r="K13" s="110">
        <f t="shared" si="2"/>
        <v>-31.240550713515404</v>
      </c>
      <c r="L13" s="110">
        <f t="shared" si="2"/>
        <v>-51.38084510258502</v>
      </c>
      <c r="M13" s="110">
        <f t="shared" si="2"/>
        <v>-24.662320802687738</v>
      </c>
      <c r="N13" s="110">
        <f t="shared" si="2"/>
        <v>0</v>
      </c>
      <c r="O13" s="110">
        <f t="shared" si="2"/>
        <v>0</v>
      </c>
      <c r="P13" s="110">
        <f t="shared" si="2"/>
        <v>0</v>
      </c>
      <c r="Q13" s="110">
        <f t="shared" si="2"/>
        <v>0</v>
      </c>
      <c r="R13" s="110">
        <f t="shared" si="2"/>
        <v>0</v>
      </c>
      <c r="S13" s="110">
        <f t="shared" si="2"/>
        <v>0</v>
      </c>
      <c r="T13" s="110">
        <f t="shared" si="2"/>
        <v>0</v>
      </c>
      <c r="U13" s="110">
        <f t="shared" si="2"/>
        <v>0</v>
      </c>
      <c r="V13" s="110">
        <f t="shared" si="2"/>
        <v>0</v>
      </c>
      <c r="W13" s="110">
        <f t="shared" si="2"/>
        <v>0</v>
      </c>
      <c r="X13" s="110">
        <f t="shared" si="2"/>
        <v>0</v>
      </c>
    </row>
    <row r="14" spans="1:24" ht="11.25" outlineLevel="1">
      <c r="A14" s="120" t="s">
        <v>124</v>
      </c>
      <c r="B14" s="120"/>
      <c r="C14" s="120"/>
      <c r="D14" s="120"/>
      <c r="E14" s="124">
        <f>E12+E13</f>
        <v>-6.789491007617155</v>
      </c>
      <c r="F14" s="124">
        <f aca="true" t="shared" si="3" ref="F14:X14">F12+F13</f>
        <v>-35.280263335447586</v>
      </c>
      <c r="G14" s="124">
        <f t="shared" si="3"/>
        <v>-40.879134300547896</v>
      </c>
      <c r="H14" s="124">
        <f t="shared" si="3"/>
        <v>-22.162908649908587</v>
      </c>
      <c r="I14" s="124">
        <f t="shared" si="3"/>
        <v>-8.877913608854229</v>
      </c>
      <c r="J14" s="124">
        <f t="shared" si="3"/>
        <v>0</v>
      </c>
      <c r="K14" s="124">
        <f t="shared" si="3"/>
        <v>0</v>
      </c>
      <c r="L14" s="124">
        <f t="shared" si="3"/>
        <v>0</v>
      </c>
      <c r="M14" s="124">
        <f t="shared" si="3"/>
        <v>48.2481258279465</v>
      </c>
      <c r="N14" s="124">
        <f t="shared" si="3"/>
        <v>91.70320050734765</v>
      </c>
      <c r="O14" s="124">
        <f t="shared" si="3"/>
        <v>115.7868513052585</v>
      </c>
      <c r="P14" s="124">
        <f t="shared" si="3"/>
        <v>129.50244797065648</v>
      </c>
      <c r="Q14" s="124">
        <f t="shared" si="3"/>
        <v>165.0012788787463</v>
      </c>
      <c r="R14" s="124">
        <f t="shared" si="3"/>
        <v>201.79764348360013</v>
      </c>
      <c r="S14" s="124">
        <f t="shared" si="3"/>
        <v>212.03263598957133</v>
      </c>
      <c r="T14" s="124">
        <f t="shared" si="3"/>
        <v>262.1598210127373</v>
      </c>
      <c r="U14" s="124">
        <f t="shared" si="3"/>
        <v>274.07997834117793</v>
      </c>
      <c r="V14" s="124">
        <f t="shared" si="3"/>
        <v>285.57714400549736</v>
      </c>
      <c r="W14" s="124">
        <f t="shared" si="3"/>
        <v>348.6146259815471</v>
      </c>
      <c r="X14" s="124">
        <f t="shared" si="3"/>
        <v>361.57270739589484</v>
      </c>
    </row>
    <row r="15" spans="5:24" ht="11.25" outlineLevel="1">
      <c r="E15" s="110"/>
      <c r="F15" s="110"/>
      <c r="G15" s="110"/>
      <c r="H15" s="110"/>
      <c r="I15" s="110"/>
      <c r="J15" s="110"/>
      <c r="K15" s="110"/>
      <c r="L15" s="110"/>
      <c r="M15" s="110"/>
      <c r="N15" s="110"/>
      <c r="O15" s="110"/>
      <c r="P15" s="110"/>
      <c r="Q15" s="110"/>
      <c r="R15" s="110"/>
      <c r="S15" s="110"/>
      <c r="T15" s="110"/>
      <c r="U15" s="110"/>
      <c r="V15" s="110"/>
      <c r="W15" s="110"/>
      <c r="X15" s="110"/>
    </row>
    <row r="16" spans="5:24" ht="11.25" outlineLevel="1">
      <c r="E16" s="118" t="s">
        <v>135</v>
      </c>
      <c r="F16" s="118" t="s">
        <v>135</v>
      </c>
      <c r="G16" s="118" t="s">
        <v>135</v>
      </c>
      <c r="H16" s="118" t="s">
        <v>135</v>
      </c>
      <c r="I16" s="118" t="s">
        <v>135</v>
      </c>
      <c r="J16" s="118" t="s">
        <v>135</v>
      </c>
      <c r="K16" s="118" t="s">
        <v>135</v>
      </c>
      <c r="L16" s="118" t="s">
        <v>135</v>
      </c>
      <c r="M16" s="118" t="s">
        <v>135</v>
      </c>
      <c r="N16" s="118" t="s">
        <v>135</v>
      </c>
      <c r="O16" s="118"/>
      <c r="P16" s="110"/>
      <c r="Q16" s="110"/>
      <c r="R16" s="110"/>
      <c r="S16" s="110"/>
      <c r="T16" s="110"/>
      <c r="U16" s="110"/>
      <c r="V16" s="110"/>
      <c r="W16" s="110"/>
      <c r="X16" s="110"/>
    </row>
    <row r="17" spans="1:24" ht="11.25" outlineLevel="1">
      <c r="A17" s="112" t="s">
        <v>106</v>
      </c>
      <c r="B17" s="112"/>
      <c r="C17" s="112"/>
      <c r="E17" s="110"/>
      <c r="F17" s="110"/>
      <c r="G17" s="110"/>
      <c r="H17" s="110"/>
      <c r="I17" s="110"/>
      <c r="J17" s="110"/>
      <c r="K17" s="110"/>
      <c r="L17" s="110"/>
      <c r="M17" s="110"/>
      <c r="N17" s="110"/>
      <c r="O17" s="110"/>
      <c r="P17" s="110"/>
      <c r="Q17" s="110"/>
      <c r="R17" s="110"/>
      <c r="S17" s="110"/>
      <c r="T17" s="110"/>
      <c r="U17" s="110"/>
      <c r="V17" s="110"/>
      <c r="W17" s="110"/>
      <c r="X17" s="110"/>
    </row>
    <row r="18" spans="1:24" ht="12.75" outlineLevel="1">
      <c r="A18" s="112" t="s">
        <v>125</v>
      </c>
      <c r="B18" s="112"/>
      <c r="C18" s="164">
        <f>Assumptions!C137</f>
        <v>0.3322</v>
      </c>
      <c r="E18" s="169">
        <f aca="true" t="shared" si="4" ref="E18:X18">IF(E14&lt;=0,0,IF($C$18*E14&gt;E8,MAX(0,E8),$C$18*E14))</f>
        <v>0</v>
      </c>
      <c r="F18" s="169">
        <f t="shared" si="4"/>
        <v>0</v>
      </c>
      <c r="G18" s="169">
        <f t="shared" si="4"/>
        <v>0</v>
      </c>
      <c r="H18" s="169">
        <f t="shared" si="4"/>
        <v>0</v>
      </c>
      <c r="I18" s="169">
        <f t="shared" si="4"/>
        <v>0</v>
      </c>
      <c r="J18" s="169">
        <f t="shared" si="4"/>
        <v>0</v>
      </c>
      <c r="K18" s="169">
        <f t="shared" si="4"/>
        <v>0</v>
      </c>
      <c r="L18" s="169">
        <f t="shared" si="4"/>
        <v>0</v>
      </c>
      <c r="M18" s="110">
        <f t="shared" si="4"/>
        <v>16.02802740004383</v>
      </c>
      <c r="N18" s="110">
        <f t="shared" si="4"/>
        <v>30.463803208540888</v>
      </c>
      <c r="O18" s="110">
        <f t="shared" si="4"/>
        <v>38.46439200360687</v>
      </c>
      <c r="P18" s="110">
        <f t="shared" si="4"/>
        <v>43.02071321585208</v>
      </c>
      <c r="Q18" s="110">
        <f t="shared" si="4"/>
        <v>54.81342484351952</v>
      </c>
      <c r="R18" s="110">
        <f t="shared" si="4"/>
        <v>67.03717716525196</v>
      </c>
      <c r="S18" s="110">
        <f t="shared" si="4"/>
        <v>70.43724167573559</v>
      </c>
      <c r="T18" s="110">
        <f t="shared" si="4"/>
        <v>87.08949254043134</v>
      </c>
      <c r="U18" s="110">
        <f t="shared" si="4"/>
        <v>91.0493688049393</v>
      </c>
      <c r="V18" s="110">
        <f t="shared" si="4"/>
        <v>94.86872723862622</v>
      </c>
      <c r="W18" s="110">
        <f t="shared" si="4"/>
        <v>115.80977875106994</v>
      </c>
      <c r="X18" s="110">
        <f t="shared" si="4"/>
        <v>120.11445339691626</v>
      </c>
    </row>
    <row r="19" spans="1:24" ht="11.25" outlineLevel="1">
      <c r="A19" s="113" t="s">
        <v>12</v>
      </c>
      <c r="B19" s="113"/>
      <c r="C19" s="164">
        <f>Assumptions!C136</f>
        <v>0.1993</v>
      </c>
      <c r="E19" s="183">
        <f aca="true" t="shared" si="5" ref="E19:X19">IF(E8&gt;0,E8*$C$19,0)</f>
        <v>1.766931662582795</v>
      </c>
      <c r="F19" s="183">
        <f t="shared" si="5"/>
        <v>0</v>
      </c>
      <c r="G19" s="183">
        <f t="shared" si="5"/>
        <v>0</v>
      </c>
      <c r="H19" s="183">
        <f t="shared" si="5"/>
        <v>0</v>
      </c>
      <c r="I19" s="183">
        <f t="shared" si="5"/>
        <v>1.3777699107870311</v>
      </c>
      <c r="J19" s="183">
        <f t="shared" si="5"/>
        <v>3.474524026096192</v>
      </c>
      <c r="K19" s="183">
        <f t="shared" si="5"/>
        <v>7.51332915831921</v>
      </c>
      <c r="L19" s="183">
        <f t="shared" si="5"/>
        <v>10.762894214145499</v>
      </c>
      <c r="M19" s="183">
        <f t="shared" si="5"/>
        <v>14.366040933939203</v>
      </c>
      <c r="N19" s="183">
        <f t="shared" si="5"/>
        <v>17.491697250404318</v>
      </c>
      <c r="O19" s="183">
        <f t="shared" si="5"/>
        <v>21.732044094187952</v>
      </c>
      <c r="P19" s="183">
        <f t="shared" si="5"/>
        <v>23.959367984676117</v>
      </c>
      <c r="Q19" s="183">
        <f t="shared" si="5"/>
        <v>30.575297724983784</v>
      </c>
      <c r="R19" s="183">
        <f t="shared" si="5"/>
        <v>37.49158185109844</v>
      </c>
      <c r="S19" s="183">
        <f t="shared" si="5"/>
        <v>39.15108169772358</v>
      </c>
      <c r="T19" s="183">
        <f t="shared" si="5"/>
        <v>48.79365707041931</v>
      </c>
      <c r="U19" s="183">
        <f t="shared" si="5"/>
        <v>50.85025971655633</v>
      </c>
      <c r="V19" s="183">
        <f t="shared" si="5"/>
        <v>52.84778243100585</v>
      </c>
      <c r="W19" s="183">
        <f t="shared" si="5"/>
        <v>65.13940747534815</v>
      </c>
      <c r="X19" s="183">
        <f t="shared" si="5"/>
        <v>67.46953889300323</v>
      </c>
    </row>
    <row r="20" spans="1:24" ht="11.25" outlineLevel="1">
      <c r="A20" s="113" t="s">
        <v>126</v>
      </c>
      <c r="B20" s="113"/>
      <c r="C20" s="113"/>
      <c r="D20" s="115"/>
      <c r="E20" s="110">
        <f aca="true" t="shared" si="6" ref="E20:N20">D20+E19</f>
        <v>1.766931662582795</v>
      </c>
      <c r="F20" s="110">
        <f t="shared" si="6"/>
        <v>1.766931662582795</v>
      </c>
      <c r="G20" s="110">
        <f t="shared" si="6"/>
        <v>1.766931662582795</v>
      </c>
      <c r="H20" s="110">
        <f t="shared" si="6"/>
        <v>1.766931662582795</v>
      </c>
      <c r="I20" s="110">
        <f t="shared" si="6"/>
        <v>3.1447015733698263</v>
      </c>
      <c r="J20" s="110">
        <f t="shared" si="6"/>
        <v>6.619225599466018</v>
      </c>
      <c r="K20" s="110">
        <f t="shared" si="6"/>
        <v>14.132554757785229</v>
      </c>
      <c r="L20" s="110">
        <f t="shared" si="6"/>
        <v>24.895448971930726</v>
      </c>
      <c r="M20" s="110">
        <f t="shared" si="6"/>
        <v>39.26148990586993</v>
      </c>
      <c r="N20" s="110">
        <f t="shared" si="6"/>
        <v>56.75318715627425</v>
      </c>
      <c r="O20" s="110">
        <v>0</v>
      </c>
      <c r="P20" s="110">
        <v>0</v>
      </c>
      <c r="Q20" s="110">
        <v>0</v>
      </c>
      <c r="R20" s="110">
        <v>0</v>
      </c>
      <c r="S20" s="110">
        <v>0</v>
      </c>
      <c r="T20" s="110">
        <v>0</v>
      </c>
      <c r="U20" s="110">
        <v>0</v>
      </c>
      <c r="V20" s="110">
        <v>0</v>
      </c>
      <c r="W20" s="110">
        <v>0</v>
      </c>
      <c r="X20" s="110">
        <v>0</v>
      </c>
    </row>
    <row r="21" spans="1:24" ht="11.25" outlineLevel="1">
      <c r="A21" s="113" t="s">
        <v>127</v>
      </c>
      <c r="B21" s="113"/>
      <c r="C21" s="113"/>
      <c r="D21" s="115"/>
      <c r="E21" s="110"/>
      <c r="F21" s="110"/>
      <c r="G21" s="110"/>
      <c r="H21" s="110"/>
      <c r="I21" s="110"/>
      <c r="J21" s="110"/>
      <c r="K21" s="110"/>
      <c r="L21" s="110"/>
      <c r="M21" s="110"/>
      <c r="N21" s="110"/>
      <c r="O21" s="110">
        <f>N25</f>
        <v>151.87433461502718</v>
      </c>
      <c r="P21" s="110">
        <f aca="true" t="shared" si="7" ref="P21:X21">O25</f>
        <v>135.14198670560828</v>
      </c>
      <c r="Q21" s="110">
        <f t="shared" si="7"/>
        <v>114.3137098118495</v>
      </c>
      <c r="R21" s="110">
        <f t="shared" si="7"/>
        <v>88.30865103073097</v>
      </c>
      <c r="S21" s="110">
        <f t="shared" si="7"/>
        <v>56.996124053994656</v>
      </c>
      <c r="T21" s="110">
        <f t="shared" si="7"/>
        <v>23.943032413399855</v>
      </c>
      <c r="U21" s="110">
        <f t="shared" si="7"/>
        <v>0</v>
      </c>
      <c r="V21" s="110">
        <f t="shared" si="7"/>
        <v>0</v>
      </c>
      <c r="W21" s="110">
        <f t="shared" si="7"/>
        <v>0</v>
      </c>
      <c r="X21" s="110">
        <f t="shared" si="7"/>
        <v>0</v>
      </c>
    </row>
    <row r="22" spans="1:24" ht="11.25" outlineLevel="1">
      <c r="A22" s="113" t="s">
        <v>240</v>
      </c>
      <c r="B22" s="113"/>
      <c r="C22" s="113"/>
      <c r="D22" s="115"/>
      <c r="E22" s="170">
        <v>1</v>
      </c>
      <c r="F22" s="170">
        <f>E22+1</f>
        <v>2</v>
      </c>
      <c r="G22" s="170">
        <f aca="true" t="shared" si="8" ref="G22:N22">F22+1</f>
        <v>3</v>
      </c>
      <c r="H22" s="170">
        <f t="shared" si="8"/>
        <v>4</v>
      </c>
      <c r="I22" s="170">
        <f t="shared" si="8"/>
        <v>5</v>
      </c>
      <c r="J22" s="170">
        <f t="shared" si="8"/>
        <v>6</v>
      </c>
      <c r="K22" s="170">
        <f t="shared" si="8"/>
        <v>7</v>
      </c>
      <c r="L22" s="170">
        <f t="shared" si="8"/>
        <v>8</v>
      </c>
      <c r="M22" s="170">
        <f t="shared" si="8"/>
        <v>9</v>
      </c>
      <c r="N22" s="170">
        <f t="shared" si="8"/>
        <v>10</v>
      </c>
      <c r="O22" s="110"/>
      <c r="P22" s="110"/>
      <c r="Q22" s="110"/>
      <c r="R22" s="110"/>
      <c r="S22" s="110"/>
      <c r="T22" s="110"/>
      <c r="U22" s="110"/>
      <c r="V22" s="110"/>
      <c r="W22" s="110"/>
      <c r="X22" s="110"/>
    </row>
    <row r="23" spans="1:25" ht="11.25" outlineLevel="1">
      <c r="A23" s="113" t="s">
        <v>241</v>
      </c>
      <c r="B23" s="113"/>
      <c r="C23" s="113"/>
      <c r="D23" s="115"/>
      <c r="E23" s="170"/>
      <c r="F23" s="170"/>
      <c r="G23" s="170"/>
      <c r="H23" s="170"/>
      <c r="I23" s="170"/>
      <c r="J23" s="170"/>
      <c r="K23" s="170"/>
      <c r="L23" s="170"/>
      <c r="M23" s="170"/>
      <c r="N23" s="170"/>
      <c r="O23" s="110"/>
      <c r="P23" s="110">
        <f aca="true" t="shared" si="9" ref="P23:X23">E20</f>
        <v>1.766931662582795</v>
      </c>
      <c r="Q23" s="110">
        <f t="shared" si="9"/>
        <v>1.766931662582795</v>
      </c>
      <c r="R23" s="110">
        <f t="shared" si="9"/>
        <v>1.766931662582795</v>
      </c>
      <c r="S23" s="110">
        <f t="shared" si="9"/>
        <v>1.766931662582795</v>
      </c>
      <c r="T23" s="110">
        <f t="shared" si="9"/>
        <v>3.1447015733698263</v>
      </c>
      <c r="U23" s="110">
        <f t="shared" si="9"/>
        <v>6.619225599466018</v>
      </c>
      <c r="V23" s="110">
        <f t="shared" si="9"/>
        <v>14.132554757785229</v>
      </c>
      <c r="W23" s="110">
        <f t="shared" si="9"/>
        <v>24.895448971930726</v>
      </c>
      <c r="X23" s="110">
        <f t="shared" si="9"/>
        <v>39.26148990586993</v>
      </c>
      <c r="Y23" s="110"/>
    </row>
    <row r="24" spans="1:24" ht="11.25" outlineLevel="1">
      <c r="A24" s="113" t="s">
        <v>128</v>
      </c>
      <c r="B24" s="113"/>
      <c r="C24" s="113"/>
      <c r="D24" s="115"/>
      <c r="E24" s="110"/>
      <c r="F24" s="110"/>
      <c r="G24" s="110"/>
      <c r="H24" s="110"/>
      <c r="I24" s="110"/>
      <c r="J24" s="110"/>
      <c r="K24" s="110"/>
      <c r="L24" s="110"/>
      <c r="M24" s="110"/>
      <c r="N24" s="110"/>
      <c r="O24" s="171">
        <f aca="true" t="shared" si="10" ref="O24:X24">IF(O18-O19&lt;=O21,O18-O19,O21)</f>
        <v>16.732347909418916</v>
      </c>
      <c r="P24" s="171">
        <f t="shared" si="10"/>
        <v>19.061345231175967</v>
      </c>
      <c r="Q24" s="171">
        <f t="shared" si="10"/>
        <v>24.238127118535736</v>
      </c>
      <c r="R24" s="171">
        <f t="shared" si="10"/>
        <v>29.545595314153523</v>
      </c>
      <c r="S24" s="171">
        <f t="shared" si="10"/>
        <v>31.28615997801201</v>
      </c>
      <c r="T24" s="171">
        <f t="shared" si="10"/>
        <v>23.943032413399855</v>
      </c>
      <c r="U24" s="171">
        <f t="shared" si="10"/>
        <v>0</v>
      </c>
      <c r="V24" s="171">
        <f t="shared" si="10"/>
        <v>0</v>
      </c>
      <c r="W24" s="171">
        <f t="shared" si="10"/>
        <v>0</v>
      </c>
      <c r="X24" s="171">
        <f t="shared" si="10"/>
        <v>0</v>
      </c>
    </row>
    <row r="25" spans="1:24" ht="11.25" outlineLevel="1">
      <c r="A25" s="113" t="s">
        <v>242</v>
      </c>
      <c r="B25" s="113"/>
      <c r="C25" s="113"/>
      <c r="D25" s="115"/>
      <c r="E25" s="181">
        <f>IF(E20+D25-E23-E24&gt;0,E20+D25-E23-E24,0)</f>
        <v>1.766931662582795</v>
      </c>
      <c r="F25" s="181">
        <f aca="true" t="shared" si="11" ref="F25:X25">IF(F20+E25-F23-F24&gt;0,F20+E25-F23-F24,0)</f>
        <v>3.53386332516559</v>
      </c>
      <c r="G25" s="181">
        <f t="shared" si="11"/>
        <v>5.300794987748385</v>
      </c>
      <c r="H25" s="181">
        <f t="shared" si="11"/>
        <v>7.06772665033118</v>
      </c>
      <c r="I25" s="181">
        <f t="shared" si="11"/>
        <v>10.212428223701007</v>
      </c>
      <c r="J25" s="181">
        <f t="shared" si="11"/>
        <v>16.831653823167024</v>
      </c>
      <c r="K25" s="181">
        <f t="shared" si="11"/>
        <v>30.964208580952253</v>
      </c>
      <c r="L25" s="181">
        <f t="shared" si="11"/>
        <v>55.85965755288298</v>
      </c>
      <c r="M25" s="181">
        <f t="shared" si="11"/>
        <v>95.12114745875292</v>
      </c>
      <c r="N25" s="181">
        <f t="shared" si="11"/>
        <v>151.87433461502718</v>
      </c>
      <c r="O25" s="181">
        <f t="shared" si="11"/>
        <v>135.14198670560828</v>
      </c>
      <c r="P25" s="181">
        <f t="shared" si="11"/>
        <v>114.3137098118495</v>
      </c>
      <c r="Q25" s="181">
        <f t="shared" si="11"/>
        <v>88.30865103073097</v>
      </c>
      <c r="R25" s="181">
        <f t="shared" si="11"/>
        <v>56.996124053994656</v>
      </c>
      <c r="S25" s="181">
        <f t="shared" si="11"/>
        <v>23.943032413399855</v>
      </c>
      <c r="T25" s="181">
        <f t="shared" si="11"/>
        <v>0</v>
      </c>
      <c r="U25" s="181">
        <f t="shared" si="11"/>
        <v>0</v>
      </c>
      <c r="V25" s="181">
        <f t="shared" si="11"/>
        <v>0</v>
      </c>
      <c r="W25" s="181">
        <f t="shared" si="11"/>
        <v>0</v>
      </c>
      <c r="X25" s="181">
        <f t="shared" si="11"/>
        <v>0</v>
      </c>
    </row>
    <row r="26" spans="1:24" ht="11.25" outlineLevel="1">
      <c r="A26" s="127" t="s">
        <v>129</v>
      </c>
      <c r="B26" s="116"/>
      <c r="C26" s="116"/>
      <c r="D26" s="117"/>
      <c r="E26" s="182">
        <f aca="true" t="shared" si="12" ref="E26:N26">IF(E18&gt;0,MAX(E18,E19),E19)</f>
        <v>1.766931662582795</v>
      </c>
      <c r="F26" s="182">
        <f t="shared" si="12"/>
        <v>0</v>
      </c>
      <c r="G26" s="182">
        <f t="shared" si="12"/>
        <v>0</v>
      </c>
      <c r="H26" s="182">
        <f t="shared" si="12"/>
        <v>0</v>
      </c>
      <c r="I26" s="182">
        <f t="shared" si="12"/>
        <v>1.3777699107870311</v>
      </c>
      <c r="J26" s="182">
        <f t="shared" si="12"/>
        <v>3.474524026096192</v>
      </c>
      <c r="K26" s="182">
        <f t="shared" si="12"/>
        <v>7.51332915831921</v>
      </c>
      <c r="L26" s="182">
        <f t="shared" si="12"/>
        <v>10.762894214145499</v>
      </c>
      <c r="M26" s="182">
        <f t="shared" si="12"/>
        <v>16.02802740004383</v>
      </c>
      <c r="N26" s="182">
        <f t="shared" si="12"/>
        <v>30.463803208540888</v>
      </c>
      <c r="O26" s="182">
        <f aca="true" t="shared" si="13" ref="O26:X26">O18-O24</f>
        <v>21.732044094187952</v>
      </c>
      <c r="P26" s="182">
        <f t="shared" si="13"/>
        <v>23.959367984676117</v>
      </c>
      <c r="Q26" s="182">
        <f t="shared" si="13"/>
        <v>30.575297724983784</v>
      </c>
      <c r="R26" s="182">
        <f t="shared" si="13"/>
        <v>37.49158185109844</v>
      </c>
      <c r="S26" s="182">
        <f t="shared" si="13"/>
        <v>39.15108169772358</v>
      </c>
      <c r="T26" s="182">
        <f t="shared" si="13"/>
        <v>63.14646012703148</v>
      </c>
      <c r="U26" s="182">
        <f t="shared" si="13"/>
        <v>91.0493688049393</v>
      </c>
      <c r="V26" s="182">
        <f t="shared" si="13"/>
        <v>94.86872723862622</v>
      </c>
      <c r="W26" s="182">
        <f t="shared" si="13"/>
        <v>115.80977875106994</v>
      </c>
      <c r="X26" s="182">
        <f t="shared" si="13"/>
        <v>120.11445339691626</v>
      </c>
    </row>
    <row r="27" spans="1:24" ht="11.25" outlineLevel="1">
      <c r="A27" s="113"/>
      <c r="B27" s="113"/>
      <c r="C27" s="113"/>
      <c r="E27" s="110"/>
      <c r="F27" s="110"/>
      <c r="G27" s="110"/>
      <c r="H27" s="110"/>
      <c r="I27" s="110"/>
      <c r="J27" s="110"/>
      <c r="K27" s="110"/>
      <c r="L27" s="110"/>
      <c r="M27" s="110"/>
      <c r="N27" s="110"/>
      <c r="O27" s="110"/>
      <c r="P27" s="110"/>
      <c r="Q27" s="110"/>
      <c r="R27" s="110"/>
      <c r="S27" s="110"/>
      <c r="T27" s="110"/>
      <c r="U27" s="110"/>
      <c r="V27" s="110"/>
      <c r="W27" s="110"/>
      <c r="X27" s="110"/>
    </row>
    <row r="28" spans="1:24" ht="11.25" outlineLevel="1">
      <c r="A28" s="120" t="s">
        <v>130</v>
      </c>
      <c r="B28" s="111"/>
      <c r="C28" s="111"/>
      <c r="E28" s="110"/>
      <c r="F28" s="110"/>
      <c r="G28" s="110"/>
      <c r="H28" s="110"/>
      <c r="I28" s="110"/>
      <c r="J28" s="110"/>
      <c r="K28" s="110"/>
      <c r="L28" s="110"/>
      <c r="M28" s="110"/>
      <c r="N28" s="110"/>
      <c r="O28" s="110"/>
      <c r="P28" s="110"/>
      <c r="Q28" s="110"/>
      <c r="R28" s="110"/>
      <c r="S28" s="110"/>
      <c r="T28" s="110"/>
      <c r="U28" s="110"/>
      <c r="V28" s="110"/>
      <c r="W28" s="110"/>
      <c r="X28" s="110"/>
    </row>
    <row r="29" spans="1:24" ht="11.25" outlineLevel="1">
      <c r="A29" s="107" t="s">
        <v>131</v>
      </c>
      <c r="E29" s="110">
        <f aca="true" t="shared" si="14" ref="E29:X29">D32</f>
        <v>0</v>
      </c>
      <c r="F29" s="110">
        <f t="shared" si="14"/>
        <v>-6.789491007617155</v>
      </c>
      <c r="G29" s="110">
        <f t="shared" si="14"/>
        <v>-42.069754343064744</v>
      </c>
      <c r="H29" s="110">
        <f t="shared" si="14"/>
        <v>-82.94888864361263</v>
      </c>
      <c r="I29" s="110">
        <f t="shared" si="14"/>
        <v>-105.11179729352122</v>
      </c>
      <c r="J29" s="110">
        <f t="shared" si="14"/>
        <v>-113.98971090237545</v>
      </c>
      <c r="K29" s="110">
        <f t="shared" si="14"/>
        <v>-107.28371661878816</v>
      </c>
      <c r="L29" s="110">
        <f t="shared" si="14"/>
        <v>-76.04316590527276</v>
      </c>
      <c r="M29" s="110">
        <f t="shared" si="14"/>
        <v>-24.662320802687738</v>
      </c>
      <c r="N29" s="110">
        <f t="shared" si="14"/>
        <v>0</v>
      </c>
      <c r="O29" s="110">
        <f t="shared" si="14"/>
        <v>0</v>
      </c>
      <c r="P29" s="110">
        <f t="shared" si="14"/>
        <v>0</v>
      </c>
      <c r="Q29" s="110">
        <f t="shared" si="14"/>
        <v>0</v>
      </c>
      <c r="R29" s="110">
        <f t="shared" si="14"/>
        <v>0</v>
      </c>
      <c r="S29" s="110">
        <f t="shared" si="14"/>
        <v>0</v>
      </c>
      <c r="T29" s="110">
        <f t="shared" si="14"/>
        <v>0</v>
      </c>
      <c r="U29" s="110">
        <f t="shared" si="14"/>
        <v>0</v>
      </c>
      <c r="V29" s="110">
        <f t="shared" si="14"/>
        <v>0</v>
      </c>
      <c r="W29" s="110">
        <f t="shared" si="14"/>
        <v>0</v>
      </c>
      <c r="X29" s="110">
        <f t="shared" si="14"/>
        <v>0</v>
      </c>
    </row>
    <row r="30" spans="1:24" ht="11.25" outlineLevel="1">
      <c r="A30" s="107" t="s">
        <v>132</v>
      </c>
      <c r="E30" s="110">
        <f>IF(E12&lt;0,E12,0)</f>
        <v>-6.789491007617155</v>
      </c>
      <c r="F30" s="110">
        <f>IF(F12&lt;0,F12,0)</f>
        <v>-35.280263335447586</v>
      </c>
      <c r="G30" s="110">
        <f>IF(G12&lt;0,G12,0)</f>
        <v>-40.879134300547896</v>
      </c>
      <c r="H30" s="110">
        <f aca="true" t="shared" si="15" ref="H30:X30">IF(H12&lt;0,H12,0)</f>
        <v>-22.162908649908587</v>
      </c>
      <c r="I30" s="110">
        <f t="shared" si="15"/>
        <v>-8.877913608854229</v>
      </c>
      <c r="J30" s="110">
        <f t="shared" si="15"/>
        <v>0</v>
      </c>
      <c r="K30" s="110">
        <f t="shared" si="15"/>
        <v>0</v>
      </c>
      <c r="L30" s="110">
        <f t="shared" si="15"/>
        <v>0</v>
      </c>
      <c r="M30" s="110">
        <f t="shared" si="15"/>
        <v>0</v>
      </c>
      <c r="N30" s="110">
        <f t="shared" si="15"/>
        <v>0</v>
      </c>
      <c r="O30" s="110">
        <f t="shared" si="15"/>
        <v>0</v>
      </c>
      <c r="P30" s="110">
        <f t="shared" si="15"/>
        <v>0</v>
      </c>
      <c r="Q30" s="110">
        <f t="shared" si="15"/>
        <v>0</v>
      </c>
      <c r="R30" s="110">
        <f t="shared" si="15"/>
        <v>0</v>
      </c>
      <c r="S30" s="110">
        <f t="shared" si="15"/>
        <v>0</v>
      </c>
      <c r="T30" s="110">
        <f t="shared" si="15"/>
        <v>0</v>
      </c>
      <c r="U30" s="110">
        <f t="shared" si="15"/>
        <v>0</v>
      </c>
      <c r="V30" s="110">
        <f t="shared" si="15"/>
        <v>0</v>
      </c>
      <c r="W30" s="110">
        <f t="shared" si="15"/>
        <v>0</v>
      </c>
      <c r="X30" s="110">
        <f t="shared" si="15"/>
        <v>0</v>
      </c>
    </row>
    <row r="31" spans="1:24" ht="11.25" outlineLevel="1">
      <c r="A31" s="107" t="s">
        <v>133</v>
      </c>
      <c r="E31" s="110">
        <f>IF(E12&gt;0,MIN(ABS(E29),E12),0)</f>
        <v>0</v>
      </c>
      <c r="F31" s="110">
        <f aca="true" t="shared" si="16" ref="F31:X31">IF(F12&gt;0,MIN(ABS(F29),F12),0)</f>
        <v>0</v>
      </c>
      <c r="G31" s="110">
        <f t="shared" si="16"/>
        <v>0</v>
      </c>
      <c r="H31" s="110">
        <f t="shared" si="16"/>
        <v>0</v>
      </c>
      <c r="I31" s="110">
        <f t="shared" si="16"/>
        <v>0</v>
      </c>
      <c r="J31" s="110">
        <f t="shared" si="16"/>
        <v>6.70599428358728</v>
      </c>
      <c r="K31" s="110">
        <f t="shared" si="16"/>
        <v>31.240550713515404</v>
      </c>
      <c r="L31" s="110">
        <f t="shared" si="16"/>
        <v>51.38084510258502</v>
      </c>
      <c r="M31" s="110">
        <f t="shared" si="16"/>
        <v>24.662320802687738</v>
      </c>
      <c r="N31" s="110">
        <f t="shared" si="16"/>
        <v>0</v>
      </c>
      <c r="O31" s="110">
        <f t="shared" si="16"/>
        <v>0</v>
      </c>
      <c r="P31" s="110">
        <f t="shared" si="16"/>
        <v>0</v>
      </c>
      <c r="Q31" s="110">
        <f t="shared" si="16"/>
        <v>0</v>
      </c>
      <c r="R31" s="110">
        <f t="shared" si="16"/>
        <v>0</v>
      </c>
      <c r="S31" s="110">
        <f t="shared" si="16"/>
        <v>0</v>
      </c>
      <c r="T31" s="110">
        <f t="shared" si="16"/>
        <v>0</v>
      </c>
      <c r="U31" s="110">
        <f t="shared" si="16"/>
        <v>0</v>
      </c>
      <c r="V31" s="110">
        <f t="shared" si="16"/>
        <v>0</v>
      </c>
      <c r="W31" s="110">
        <f t="shared" si="16"/>
        <v>0</v>
      </c>
      <c r="X31" s="110">
        <f t="shared" si="16"/>
        <v>0</v>
      </c>
    </row>
    <row r="32" spans="1:24" ht="11.25" outlineLevel="1">
      <c r="A32" s="107" t="s">
        <v>134</v>
      </c>
      <c r="E32" s="110">
        <f>IF(SUM(E29:E31)&lt;=0,SUM(E29:E31),0)</f>
        <v>-6.789491007617155</v>
      </c>
      <c r="F32" s="110">
        <f aca="true" t="shared" si="17" ref="F32:X32">IF(SUM(F29:F31)&lt;=0,SUM(F29:F31),0)</f>
        <v>-42.069754343064744</v>
      </c>
      <c r="G32" s="110">
        <f t="shared" si="17"/>
        <v>-82.94888864361263</v>
      </c>
      <c r="H32" s="110">
        <f t="shared" si="17"/>
        <v>-105.11179729352122</v>
      </c>
      <c r="I32" s="110">
        <f t="shared" si="17"/>
        <v>-113.98971090237545</v>
      </c>
      <c r="J32" s="110">
        <f t="shared" si="17"/>
        <v>-107.28371661878816</v>
      </c>
      <c r="K32" s="110">
        <f t="shared" si="17"/>
        <v>-76.04316590527276</v>
      </c>
      <c r="L32" s="110">
        <f t="shared" si="17"/>
        <v>-24.662320802687738</v>
      </c>
      <c r="M32" s="110">
        <f t="shared" si="17"/>
        <v>0</v>
      </c>
      <c r="N32" s="110">
        <f t="shared" si="17"/>
        <v>0</v>
      </c>
      <c r="O32" s="110">
        <f t="shared" si="17"/>
        <v>0</v>
      </c>
      <c r="P32" s="110">
        <f t="shared" si="17"/>
        <v>0</v>
      </c>
      <c r="Q32" s="110">
        <f t="shared" si="17"/>
        <v>0</v>
      </c>
      <c r="R32" s="110">
        <f t="shared" si="17"/>
        <v>0</v>
      </c>
      <c r="S32" s="110">
        <f t="shared" si="17"/>
        <v>0</v>
      </c>
      <c r="T32" s="110">
        <f t="shared" si="17"/>
        <v>0</v>
      </c>
      <c r="U32" s="110">
        <f t="shared" si="17"/>
        <v>0</v>
      </c>
      <c r="V32" s="110">
        <f t="shared" si="17"/>
        <v>0</v>
      </c>
      <c r="W32" s="110">
        <f t="shared" si="17"/>
        <v>0</v>
      </c>
      <c r="X32" s="110">
        <f t="shared" si="17"/>
        <v>0</v>
      </c>
    </row>
    <row r="33" spans="1:24" ht="11.25">
      <c r="A33" s="111"/>
      <c r="B33" s="111"/>
      <c r="C33" s="111"/>
      <c r="F33" s="110"/>
      <c r="G33" s="110"/>
      <c r="H33" s="110"/>
      <c r="I33" s="110"/>
      <c r="J33" s="110"/>
      <c r="K33" s="110"/>
      <c r="L33" s="110"/>
      <c r="M33" s="110"/>
      <c r="N33" s="110"/>
      <c r="O33" s="110"/>
      <c r="P33" s="110"/>
      <c r="Q33" s="110"/>
      <c r="R33" s="110"/>
      <c r="S33" s="110"/>
      <c r="T33" s="110"/>
      <c r="U33" s="110"/>
      <c r="V33" s="110"/>
      <c r="W33" s="110"/>
      <c r="X33" s="110"/>
    </row>
    <row r="34" ht="11.25">
      <c r="P34" s="158"/>
    </row>
    <row r="35" ht="11.25">
      <c r="O35" s="158"/>
    </row>
    <row r="36" ht="12.75">
      <c r="I36" s="169"/>
    </row>
    <row r="39" spans="7:9" ht="11.25">
      <c r="G39" s="60"/>
      <c r="H39" s="60"/>
      <c r="I39" s="60"/>
    </row>
  </sheetData>
  <sheetProtection/>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V36"/>
  <sheetViews>
    <sheetView zoomScale="90" zoomScaleNormal="90" zoomScalePageLayoutView="0" workbookViewId="0" topLeftCell="A1">
      <selection activeCell="A1" sqref="A1"/>
    </sheetView>
  </sheetViews>
  <sheetFormatPr defaultColWidth="9.140625" defaultRowHeight="12.75"/>
  <cols>
    <col min="1" max="1" width="9.140625" style="461" customWidth="1"/>
    <col min="2" max="2" width="50.57421875" style="461" bestFit="1" customWidth="1"/>
    <col min="3" max="3" width="17.28125" style="461" bestFit="1" customWidth="1"/>
    <col min="4" max="16384" width="9.140625" style="461" customWidth="1"/>
  </cols>
  <sheetData>
    <row r="1" ht="15">
      <c r="A1" s="460" t="s">
        <v>432</v>
      </c>
    </row>
    <row r="3" spans="2:22" ht="15">
      <c r="B3" s="581"/>
      <c r="C3" s="583" t="s">
        <v>433</v>
      </c>
      <c r="D3" s="583"/>
      <c r="E3" s="583"/>
      <c r="F3" s="583"/>
      <c r="G3" s="583"/>
      <c r="H3" s="583"/>
      <c r="I3" s="583"/>
      <c r="J3" s="583"/>
      <c r="K3" s="583"/>
      <c r="L3" s="583"/>
      <c r="M3" s="583"/>
      <c r="N3" s="583"/>
      <c r="O3" s="583"/>
      <c r="P3" s="583"/>
      <c r="Q3" s="583"/>
      <c r="R3" s="583"/>
      <c r="S3" s="583"/>
      <c r="T3" s="583"/>
      <c r="U3" s="583"/>
      <c r="V3" s="583"/>
    </row>
    <row r="4" spans="2:22" s="462" customFormat="1" ht="15">
      <c r="B4" s="582"/>
      <c r="C4" s="463">
        <v>2011</v>
      </c>
      <c r="D4" s="463">
        <v>2012</v>
      </c>
      <c r="E4" s="463">
        <v>2013</v>
      </c>
      <c r="F4" s="463">
        <v>2014</v>
      </c>
      <c r="G4" s="463">
        <v>2015</v>
      </c>
      <c r="H4" s="463">
        <v>2016</v>
      </c>
      <c r="I4" s="463">
        <v>2017</v>
      </c>
      <c r="J4" s="463">
        <v>2018</v>
      </c>
      <c r="K4" s="463">
        <v>2019</v>
      </c>
      <c r="L4" s="463">
        <v>2020</v>
      </c>
      <c r="M4" s="463">
        <v>2021</v>
      </c>
      <c r="N4" s="463">
        <v>2022</v>
      </c>
      <c r="O4" s="463">
        <v>2023</v>
      </c>
      <c r="P4" s="463">
        <v>2024</v>
      </c>
      <c r="Q4" s="463">
        <v>2025</v>
      </c>
      <c r="R4" s="463">
        <v>2026</v>
      </c>
      <c r="S4" s="463">
        <v>2027</v>
      </c>
      <c r="T4" s="463">
        <v>2028</v>
      </c>
      <c r="U4" s="463">
        <v>2029</v>
      </c>
      <c r="V4" s="463">
        <v>2030</v>
      </c>
    </row>
    <row r="5" spans="2:22" ht="15">
      <c r="B5" s="464" t="s">
        <v>17</v>
      </c>
      <c r="C5" s="465">
        <v>7</v>
      </c>
      <c r="D5" s="465">
        <v>6</v>
      </c>
      <c r="E5" s="466">
        <v>10</v>
      </c>
      <c r="F5" s="466">
        <v>11</v>
      </c>
      <c r="G5" s="466">
        <v>9</v>
      </c>
      <c r="H5" s="466">
        <v>16</v>
      </c>
      <c r="I5" s="466">
        <v>12</v>
      </c>
      <c r="J5" s="466">
        <v>20</v>
      </c>
      <c r="K5" s="466">
        <v>9</v>
      </c>
      <c r="L5" s="466">
        <v>14</v>
      </c>
      <c r="M5" s="466">
        <v>20</v>
      </c>
      <c r="N5" s="466">
        <v>23</v>
      </c>
      <c r="O5" s="466">
        <v>20</v>
      </c>
      <c r="P5" s="466">
        <v>18</v>
      </c>
      <c r="Q5" s="466">
        <v>13</v>
      </c>
      <c r="R5" s="466">
        <v>21</v>
      </c>
      <c r="S5" s="466">
        <v>17</v>
      </c>
      <c r="T5" s="466">
        <v>21</v>
      </c>
      <c r="U5" s="466">
        <v>9</v>
      </c>
      <c r="V5" s="466">
        <v>1</v>
      </c>
    </row>
    <row r="6" spans="2:22" ht="15">
      <c r="B6" s="464" t="s">
        <v>434</v>
      </c>
      <c r="C6" s="465"/>
      <c r="D6" s="465">
        <f>C5+D5</f>
        <v>13</v>
      </c>
      <c r="E6" s="466">
        <f>D6+E5</f>
        <v>23</v>
      </c>
      <c r="F6" s="466">
        <f>E6+F5</f>
        <v>34</v>
      </c>
      <c r="G6" s="466">
        <f aca="true" t="shared" si="0" ref="G6:V6">F6+G5</f>
        <v>43</v>
      </c>
      <c r="H6" s="466">
        <f t="shared" si="0"/>
        <v>59</v>
      </c>
      <c r="I6" s="466">
        <f t="shared" si="0"/>
        <v>71</v>
      </c>
      <c r="J6" s="466">
        <f t="shared" si="0"/>
        <v>91</v>
      </c>
      <c r="K6" s="466">
        <f t="shared" si="0"/>
        <v>100</v>
      </c>
      <c r="L6" s="466">
        <f t="shared" si="0"/>
        <v>114</v>
      </c>
      <c r="M6" s="466">
        <f t="shared" si="0"/>
        <v>134</v>
      </c>
      <c r="N6" s="466">
        <f t="shared" si="0"/>
        <v>157</v>
      </c>
      <c r="O6" s="466">
        <f t="shared" si="0"/>
        <v>177</v>
      </c>
      <c r="P6" s="466">
        <f t="shared" si="0"/>
        <v>195</v>
      </c>
      <c r="Q6" s="466">
        <f t="shared" si="0"/>
        <v>208</v>
      </c>
      <c r="R6" s="466">
        <f t="shared" si="0"/>
        <v>229</v>
      </c>
      <c r="S6" s="466">
        <f t="shared" si="0"/>
        <v>246</v>
      </c>
      <c r="T6" s="466">
        <f t="shared" si="0"/>
        <v>267</v>
      </c>
      <c r="U6" s="466">
        <f t="shared" si="0"/>
        <v>276</v>
      </c>
      <c r="V6" s="466">
        <f t="shared" si="0"/>
        <v>277</v>
      </c>
    </row>
    <row r="7" spans="2:3" ht="15">
      <c r="B7" s="467" t="s">
        <v>209</v>
      </c>
      <c r="C7" s="466">
        <f>SUM(C5:V5)</f>
        <v>277</v>
      </c>
    </row>
    <row r="9" spans="2:6" ht="15">
      <c r="B9" s="461" t="s">
        <v>435</v>
      </c>
      <c r="F9" s="461">
        <v>424</v>
      </c>
    </row>
    <row r="11" spans="2:6" ht="15">
      <c r="B11" s="461" t="s">
        <v>436</v>
      </c>
      <c r="F11" s="461">
        <f>61000000/10^7</f>
        <v>6.1</v>
      </c>
    </row>
    <row r="13" spans="2:6" ht="15">
      <c r="B13" s="461" t="s">
        <v>437</v>
      </c>
      <c r="F13" s="468">
        <f>F11*(1+F15)^3</f>
        <v>7.578010937499998</v>
      </c>
    </row>
    <row r="15" spans="2:6" ht="15">
      <c r="B15" s="461" t="s">
        <v>438</v>
      </c>
      <c r="F15" s="482">
        <v>0.075</v>
      </c>
    </row>
    <row r="17" spans="2:6" ht="15">
      <c r="B17" s="461" t="s">
        <v>439</v>
      </c>
      <c r="F17" s="461">
        <f>(F13*10^7)/$F$9</f>
        <v>178726.67305424524</v>
      </c>
    </row>
    <row r="20" ht="15.75" thickBot="1">
      <c r="B20" s="460" t="s">
        <v>440</v>
      </c>
    </row>
    <row r="21" spans="2:22" ht="15">
      <c r="B21" s="469"/>
      <c r="C21" s="470">
        <v>2012</v>
      </c>
      <c r="D21" s="470">
        <f>C21+1</f>
        <v>2013</v>
      </c>
      <c r="E21" s="470">
        <f aca="true" t="shared" si="1" ref="E21:V21">D21+1</f>
        <v>2014</v>
      </c>
      <c r="F21" s="470">
        <f t="shared" si="1"/>
        <v>2015</v>
      </c>
      <c r="G21" s="470">
        <f t="shared" si="1"/>
        <v>2016</v>
      </c>
      <c r="H21" s="470">
        <f t="shared" si="1"/>
        <v>2017</v>
      </c>
      <c r="I21" s="470">
        <f t="shared" si="1"/>
        <v>2018</v>
      </c>
      <c r="J21" s="470">
        <f t="shared" si="1"/>
        <v>2019</v>
      </c>
      <c r="K21" s="470">
        <f t="shared" si="1"/>
        <v>2020</v>
      </c>
      <c r="L21" s="470">
        <f t="shared" si="1"/>
        <v>2021</v>
      </c>
      <c r="M21" s="470">
        <f t="shared" si="1"/>
        <v>2022</v>
      </c>
      <c r="N21" s="470">
        <f t="shared" si="1"/>
        <v>2023</v>
      </c>
      <c r="O21" s="470">
        <f t="shared" si="1"/>
        <v>2024</v>
      </c>
      <c r="P21" s="470">
        <f t="shared" si="1"/>
        <v>2025</v>
      </c>
      <c r="Q21" s="470">
        <f t="shared" si="1"/>
        <v>2026</v>
      </c>
      <c r="R21" s="470">
        <f t="shared" si="1"/>
        <v>2027</v>
      </c>
      <c r="S21" s="470">
        <f t="shared" si="1"/>
        <v>2028</v>
      </c>
      <c r="T21" s="470">
        <f t="shared" si="1"/>
        <v>2029</v>
      </c>
      <c r="U21" s="470">
        <f t="shared" si="1"/>
        <v>2030</v>
      </c>
      <c r="V21" s="471">
        <f t="shared" si="1"/>
        <v>2031</v>
      </c>
    </row>
    <row r="22" spans="2:22" ht="15">
      <c r="B22" s="472"/>
      <c r="C22" s="473">
        <f>F9-C5</f>
        <v>417</v>
      </c>
      <c r="D22" s="473">
        <f>C22-E5</f>
        <v>407</v>
      </c>
      <c r="E22" s="473">
        <f>D22-F5</f>
        <v>396</v>
      </c>
      <c r="F22" s="473">
        <f aca="true" t="shared" si="2" ref="F22:V22">E22-G5</f>
        <v>387</v>
      </c>
      <c r="G22" s="473">
        <f t="shared" si="2"/>
        <v>371</v>
      </c>
      <c r="H22" s="473">
        <f t="shared" si="2"/>
        <v>359</v>
      </c>
      <c r="I22" s="473">
        <f t="shared" si="2"/>
        <v>339</v>
      </c>
      <c r="J22" s="473">
        <f t="shared" si="2"/>
        <v>330</v>
      </c>
      <c r="K22" s="473">
        <f t="shared" si="2"/>
        <v>316</v>
      </c>
      <c r="L22" s="473">
        <f t="shared" si="2"/>
        <v>296</v>
      </c>
      <c r="M22" s="473">
        <f t="shared" si="2"/>
        <v>273</v>
      </c>
      <c r="N22" s="473">
        <f t="shared" si="2"/>
        <v>253</v>
      </c>
      <c r="O22" s="473">
        <f t="shared" si="2"/>
        <v>235</v>
      </c>
      <c r="P22" s="473">
        <f t="shared" si="2"/>
        <v>222</v>
      </c>
      <c r="Q22" s="473">
        <f t="shared" si="2"/>
        <v>201</v>
      </c>
      <c r="R22" s="473">
        <f t="shared" si="2"/>
        <v>184</v>
      </c>
      <c r="S22" s="473">
        <f t="shared" si="2"/>
        <v>163</v>
      </c>
      <c r="T22" s="473">
        <f t="shared" si="2"/>
        <v>154</v>
      </c>
      <c r="U22" s="473">
        <f t="shared" si="2"/>
        <v>153</v>
      </c>
      <c r="V22" s="474">
        <f t="shared" si="2"/>
        <v>153</v>
      </c>
    </row>
    <row r="23" spans="2:22" ht="15">
      <c r="B23" s="472" t="s">
        <v>441</v>
      </c>
      <c r="C23" s="473">
        <f>F17</f>
        <v>178726.67305424524</v>
      </c>
      <c r="D23" s="473">
        <f>C23*(1+D24)</f>
        <v>192131.17353331362</v>
      </c>
      <c r="E23" s="473">
        <f aca="true" t="shared" si="3" ref="E23:V23">D23*(1+E24)</f>
        <v>206541.01154831212</v>
      </c>
      <c r="F23" s="473">
        <f t="shared" si="3"/>
        <v>222031.58741443552</v>
      </c>
      <c r="G23" s="473">
        <f t="shared" si="3"/>
        <v>238683.95647051817</v>
      </c>
      <c r="H23" s="473">
        <f t="shared" si="3"/>
        <v>256585.25320580704</v>
      </c>
      <c r="I23" s="473">
        <f t="shared" si="3"/>
        <v>275829.1471962425</v>
      </c>
      <c r="J23" s="473">
        <f t="shared" si="3"/>
        <v>296516.3332359607</v>
      </c>
      <c r="K23" s="473">
        <f t="shared" si="3"/>
        <v>318755.0582286577</v>
      </c>
      <c r="L23" s="473">
        <f t="shared" si="3"/>
        <v>342661.687595807</v>
      </c>
      <c r="M23" s="473">
        <f t="shared" si="3"/>
        <v>368361.31416549254</v>
      </c>
      <c r="N23" s="473">
        <f t="shared" si="3"/>
        <v>395988.41272790445</v>
      </c>
      <c r="O23" s="473">
        <f t="shared" si="3"/>
        <v>425687.5436824973</v>
      </c>
      <c r="P23" s="473">
        <f t="shared" si="3"/>
        <v>457614.1094586846</v>
      </c>
      <c r="Q23" s="473">
        <f t="shared" si="3"/>
        <v>491935.1676680859</v>
      </c>
      <c r="R23" s="473">
        <f t="shared" si="3"/>
        <v>528830.3052431924</v>
      </c>
      <c r="S23" s="473">
        <f t="shared" si="3"/>
        <v>568492.5781364318</v>
      </c>
      <c r="T23" s="473">
        <f t="shared" si="3"/>
        <v>611129.5214966642</v>
      </c>
      <c r="U23" s="473">
        <f t="shared" si="3"/>
        <v>656964.2356089139</v>
      </c>
      <c r="V23" s="474">
        <f t="shared" si="3"/>
        <v>706236.5532795824</v>
      </c>
    </row>
    <row r="24" spans="2:22" ht="15">
      <c r="B24" s="472" t="s">
        <v>442</v>
      </c>
      <c r="C24" s="473"/>
      <c r="D24" s="483">
        <f>$F$15</f>
        <v>0.075</v>
      </c>
      <c r="E24" s="483">
        <f aca="true" t="shared" si="4" ref="E24:V24">$F$15</f>
        <v>0.075</v>
      </c>
      <c r="F24" s="483">
        <f t="shared" si="4"/>
        <v>0.075</v>
      </c>
      <c r="G24" s="483">
        <f t="shared" si="4"/>
        <v>0.075</v>
      </c>
      <c r="H24" s="483">
        <f t="shared" si="4"/>
        <v>0.075</v>
      </c>
      <c r="I24" s="483">
        <f t="shared" si="4"/>
        <v>0.075</v>
      </c>
      <c r="J24" s="483">
        <f t="shared" si="4"/>
        <v>0.075</v>
      </c>
      <c r="K24" s="483">
        <f t="shared" si="4"/>
        <v>0.075</v>
      </c>
      <c r="L24" s="483">
        <f t="shared" si="4"/>
        <v>0.075</v>
      </c>
      <c r="M24" s="483">
        <f t="shared" si="4"/>
        <v>0.075</v>
      </c>
      <c r="N24" s="483">
        <f t="shared" si="4"/>
        <v>0.075</v>
      </c>
      <c r="O24" s="483">
        <f t="shared" si="4"/>
        <v>0.075</v>
      </c>
      <c r="P24" s="483">
        <f t="shared" si="4"/>
        <v>0.075</v>
      </c>
      <c r="Q24" s="483">
        <f t="shared" si="4"/>
        <v>0.075</v>
      </c>
      <c r="R24" s="483">
        <f t="shared" si="4"/>
        <v>0.075</v>
      </c>
      <c r="S24" s="483">
        <f t="shared" si="4"/>
        <v>0.075</v>
      </c>
      <c r="T24" s="483">
        <f t="shared" si="4"/>
        <v>0.075</v>
      </c>
      <c r="U24" s="483">
        <f t="shared" si="4"/>
        <v>0.075</v>
      </c>
      <c r="V24" s="484">
        <f t="shared" si="4"/>
        <v>0.075</v>
      </c>
    </row>
    <row r="25" spans="2:22" ht="15">
      <c r="B25" s="472" t="s">
        <v>443</v>
      </c>
      <c r="C25" s="473"/>
      <c r="D25" s="473"/>
      <c r="E25" s="473"/>
      <c r="F25" s="473"/>
      <c r="G25" s="473"/>
      <c r="H25" s="473"/>
      <c r="I25" s="473"/>
      <c r="J25" s="473"/>
      <c r="K25" s="473"/>
      <c r="L25" s="473"/>
      <c r="M25" s="473"/>
      <c r="N25" s="473"/>
      <c r="O25" s="473"/>
      <c r="P25" s="473"/>
      <c r="Q25" s="473"/>
      <c r="R25" s="473"/>
      <c r="S25" s="473"/>
      <c r="T25" s="473"/>
      <c r="U25" s="473"/>
      <c r="V25" s="474"/>
    </row>
    <row r="26" spans="2:22" ht="15">
      <c r="B26" s="472"/>
      <c r="C26" s="473"/>
      <c r="D26" s="473"/>
      <c r="E26" s="473"/>
      <c r="F26" s="473"/>
      <c r="G26" s="473"/>
      <c r="H26" s="473"/>
      <c r="I26" s="473"/>
      <c r="J26" s="473"/>
      <c r="K26" s="473"/>
      <c r="L26" s="473"/>
      <c r="M26" s="473"/>
      <c r="N26" s="473"/>
      <c r="O26" s="473"/>
      <c r="P26" s="473"/>
      <c r="Q26" s="473"/>
      <c r="R26" s="473"/>
      <c r="S26" s="473"/>
      <c r="T26" s="473"/>
      <c r="U26" s="473"/>
      <c r="V26" s="474"/>
    </row>
    <row r="27" spans="2:22" ht="15.75" thickBot="1">
      <c r="B27" s="475" t="s">
        <v>444</v>
      </c>
      <c r="C27" s="476">
        <f>(C22*C23)/10^7</f>
        <v>7.452902266362027</v>
      </c>
      <c r="D27" s="476">
        <f aca="true" t="shared" si="5" ref="D27:V27">(D22*D23)/10^7</f>
        <v>7.819738762805864</v>
      </c>
      <c r="E27" s="476">
        <f t="shared" si="5"/>
        <v>8.17902405731316</v>
      </c>
      <c r="F27" s="476">
        <f t="shared" si="5"/>
        <v>8.592622432938654</v>
      </c>
      <c r="G27" s="476">
        <f t="shared" si="5"/>
        <v>8.855174785056224</v>
      </c>
      <c r="H27" s="476">
        <f t="shared" si="5"/>
        <v>9.211410590088473</v>
      </c>
      <c r="I27" s="476">
        <f t="shared" si="5"/>
        <v>9.350608089952622</v>
      </c>
      <c r="J27" s="476">
        <f t="shared" si="5"/>
        <v>9.785038996786703</v>
      </c>
      <c r="K27" s="476">
        <f t="shared" si="5"/>
        <v>10.072659840025583</v>
      </c>
      <c r="L27" s="476">
        <f t="shared" si="5"/>
        <v>10.142785952835888</v>
      </c>
      <c r="M27" s="476">
        <f t="shared" si="5"/>
        <v>10.056263876717946</v>
      </c>
      <c r="N27" s="476">
        <f t="shared" si="5"/>
        <v>10.018506842015983</v>
      </c>
      <c r="O27" s="476">
        <f t="shared" si="5"/>
        <v>10.003657276538686</v>
      </c>
      <c r="P27" s="476">
        <f t="shared" si="5"/>
        <v>10.159033229982798</v>
      </c>
      <c r="Q27" s="476">
        <f t="shared" si="5"/>
        <v>9.887896870128525</v>
      </c>
      <c r="R27" s="476">
        <f t="shared" si="5"/>
        <v>9.730477616474738</v>
      </c>
      <c r="S27" s="476">
        <f t="shared" si="5"/>
        <v>9.266429023623838</v>
      </c>
      <c r="T27" s="476">
        <f t="shared" si="5"/>
        <v>9.411394631048628</v>
      </c>
      <c r="U27" s="476">
        <f t="shared" si="5"/>
        <v>10.051552804816383</v>
      </c>
      <c r="V27" s="477">
        <f t="shared" si="5"/>
        <v>10.80541926517761</v>
      </c>
    </row>
    <row r="30" ht="15.75" thickBot="1">
      <c r="B30" s="460" t="s">
        <v>445</v>
      </c>
    </row>
    <row r="31" spans="2:22" ht="15">
      <c r="B31" s="469"/>
      <c r="C31" s="470">
        <v>2012</v>
      </c>
      <c r="D31" s="470">
        <f>C31+1</f>
        <v>2013</v>
      </c>
      <c r="E31" s="470">
        <f aca="true" t="shared" si="6" ref="E31:V31">D31+1</f>
        <v>2014</v>
      </c>
      <c r="F31" s="470">
        <f t="shared" si="6"/>
        <v>2015</v>
      </c>
      <c r="G31" s="470">
        <f t="shared" si="6"/>
        <v>2016</v>
      </c>
      <c r="H31" s="470">
        <f t="shared" si="6"/>
        <v>2017</v>
      </c>
      <c r="I31" s="470">
        <f t="shared" si="6"/>
        <v>2018</v>
      </c>
      <c r="J31" s="470">
        <f t="shared" si="6"/>
        <v>2019</v>
      </c>
      <c r="K31" s="470">
        <f t="shared" si="6"/>
        <v>2020</v>
      </c>
      <c r="L31" s="470">
        <f t="shared" si="6"/>
        <v>2021</v>
      </c>
      <c r="M31" s="470">
        <f t="shared" si="6"/>
        <v>2022</v>
      </c>
      <c r="N31" s="470">
        <f t="shared" si="6"/>
        <v>2023</v>
      </c>
      <c r="O31" s="470">
        <f t="shared" si="6"/>
        <v>2024</v>
      </c>
      <c r="P31" s="470">
        <f t="shared" si="6"/>
        <v>2025</v>
      </c>
      <c r="Q31" s="470">
        <f t="shared" si="6"/>
        <v>2026</v>
      </c>
      <c r="R31" s="470">
        <f t="shared" si="6"/>
        <v>2027</v>
      </c>
      <c r="S31" s="470">
        <f t="shared" si="6"/>
        <v>2028</v>
      </c>
      <c r="T31" s="470">
        <f t="shared" si="6"/>
        <v>2029</v>
      </c>
      <c r="U31" s="470">
        <f t="shared" si="6"/>
        <v>2030</v>
      </c>
      <c r="V31" s="471">
        <f t="shared" si="6"/>
        <v>2031</v>
      </c>
    </row>
    <row r="32" spans="2:22" ht="15">
      <c r="B32" s="472" t="s">
        <v>446</v>
      </c>
      <c r="C32" s="479" t="e">
        <f>((#REF!-#REF!)/10^7)*(1+C33)</f>
        <v>#REF!</v>
      </c>
      <c r="D32" s="479" t="e">
        <f>C32*(1+D33)</f>
        <v>#REF!</v>
      </c>
      <c r="E32" s="479" t="e">
        <f aca="true" t="shared" si="7" ref="E32:V32">D32*(1+E33)</f>
        <v>#REF!</v>
      </c>
      <c r="F32" s="479" t="e">
        <f t="shared" si="7"/>
        <v>#REF!</v>
      </c>
      <c r="G32" s="479" t="e">
        <f t="shared" si="7"/>
        <v>#REF!</v>
      </c>
      <c r="H32" s="479" t="e">
        <f t="shared" si="7"/>
        <v>#REF!</v>
      </c>
      <c r="I32" s="479" t="e">
        <f t="shared" si="7"/>
        <v>#REF!</v>
      </c>
      <c r="J32" s="479" t="e">
        <f t="shared" si="7"/>
        <v>#REF!</v>
      </c>
      <c r="K32" s="479" t="e">
        <f t="shared" si="7"/>
        <v>#REF!</v>
      </c>
      <c r="L32" s="479" t="e">
        <f t="shared" si="7"/>
        <v>#REF!</v>
      </c>
      <c r="M32" s="479" t="e">
        <f t="shared" si="7"/>
        <v>#REF!</v>
      </c>
      <c r="N32" s="479" t="e">
        <f t="shared" si="7"/>
        <v>#REF!</v>
      </c>
      <c r="O32" s="479" t="e">
        <f t="shared" si="7"/>
        <v>#REF!</v>
      </c>
      <c r="P32" s="479" t="e">
        <f t="shared" si="7"/>
        <v>#REF!</v>
      </c>
      <c r="Q32" s="479" t="e">
        <f t="shared" si="7"/>
        <v>#REF!</v>
      </c>
      <c r="R32" s="479" t="e">
        <f t="shared" si="7"/>
        <v>#REF!</v>
      </c>
      <c r="S32" s="479" t="e">
        <f t="shared" si="7"/>
        <v>#REF!</v>
      </c>
      <c r="T32" s="479" t="e">
        <f t="shared" si="7"/>
        <v>#REF!</v>
      </c>
      <c r="U32" s="479" t="e">
        <f t="shared" si="7"/>
        <v>#REF!</v>
      </c>
      <c r="V32" s="480" t="e">
        <f t="shared" si="7"/>
        <v>#REF!</v>
      </c>
    </row>
    <row r="33" spans="2:22" ht="15.75" thickBot="1">
      <c r="B33" s="478" t="s">
        <v>443</v>
      </c>
      <c r="C33" s="485">
        <f>F15</f>
        <v>0.075</v>
      </c>
      <c r="D33" s="485">
        <f>C33</f>
        <v>0.075</v>
      </c>
      <c r="E33" s="485">
        <f aca="true" t="shared" si="8" ref="E33:V33">D33</f>
        <v>0.075</v>
      </c>
      <c r="F33" s="485">
        <f t="shared" si="8"/>
        <v>0.075</v>
      </c>
      <c r="G33" s="485">
        <f t="shared" si="8"/>
        <v>0.075</v>
      </c>
      <c r="H33" s="485">
        <f t="shared" si="8"/>
        <v>0.075</v>
      </c>
      <c r="I33" s="485">
        <f t="shared" si="8"/>
        <v>0.075</v>
      </c>
      <c r="J33" s="485">
        <f t="shared" si="8"/>
        <v>0.075</v>
      </c>
      <c r="K33" s="485">
        <f t="shared" si="8"/>
        <v>0.075</v>
      </c>
      <c r="L33" s="485">
        <f t="shared" si="8"/>
        <v>0.075</v>
      </c>
      <c r="M33" s="485">
        <f t="shared" si="8"/>
        <v>0.075</v>
      </c>
      <c r="N33" s="485">
        <f t="shared" si="8"/>
        <v>0.075</v>
      </c>
      <c r="O33" s="485">
        <f t="shared" si="8"/>
        <v>0.075</v>
      </c>
      <c r="P33" s="485">
        <f t="shared" si="8"/>
        <v>0.075</v>
      </c>
      <c r="Q33" s="485">
        <f t="shared" si="8"/>
        <v>0.075</v>
      </c>
      <c r="R33" s="485">
        <f t="shared" si="8"/>
        <v>0.075</v>
      </c>
      <c r="S33" s="485">
        <f t="shared" si="8"/>
        <v>0.075</v>
      </c>
      <c r="T33" s="485">
        <f t="shared" si="8"/>
        <v>0.075</v>
      </c>
      <c r="U33" s="485">
        <f t="shared" si="8"/>
        <v>0.075</v>
      </c>
      <c r="V33" s="486">
        <f t="shared" si="8"/>
        <v>0.075</v>
      </c>
    </row>
    <row r="36" spans="2:22" ht="15">
      <c r="B36" s="460" t="s">
        <v>447</v>
      </c>
      <c r="C36" s="481" t="e">
        <f>C27+C32</f>
        <v>#REF!</v>
      </c>
      <c r="D36" s="481" t="e">
        <f aca="true" t="shared" si="9" ref="D36:V36">D27+D32</f>
        <v>#REF!</v>
      </c>
      <c r="E36" s="481" t="e">
        <f t="shared" si="9"/>
        <v>#REF!</v>
      </c>
      <c r="F36" s="481" t="e">
        <f t="shared" si="9"/>
        <v>#REF!</v>
      </c>
      <c r="G36" s="481" t="e">
        <f t="shared" si="9"/>
        <v>#REF!</v>
      </c>
      <c r="H36" s="481" t="e">
        <f t="shared" si="9"/>
        <v>#REF!</v>
      </c>
      <c r="I36" s="481" t="e">
        <f t="shared" si="9"/>
        <v>#REF!</v>
      </c>
      <c r="J36" s="481" t="e">
        <f t="shared" si="9"/>
        <v>#REF!</v>
      </c>
      <c r="K36" s="481" t="e">
        <f t="shared" si="9"/>
        <v>#REF!</v>
      </c>
      <c r="L36" s="481" t="e">
        <f t="shared" si="9"/>
        <v>#REF!</v>
      </c>
      <c r="M36" s="481" t="e">
        <f t="shared" si="9"/>
        <v>#REF!</v>
      </c>
      <c r="N36" s="481" t="e">
        <f t="shared" si="9"/>
        <v>#REF!</v>
      </c>
      <c r="O36" s="481" t="e">
        <f t="shared" si="9"/>
        <v>#REF!</v>
      </c>
      <c r="P36" s="481" t="e">
        <f t="shared" si="9"/>
        <v>#REF!</v>
      </c>
      <c r="Q36" s="481" t="e">
        <f t="shared" si="9"/>
        <v>#REF!</v>
      </c>
      <c r="R36" s="481" t="e">
        <f t="shared" si="9"/>
        <v>#REF!</v>
      </c>
      <c r="S36" s="481" t="e">
        <f t="shared" si="9"/>
        <v>#REF!</v>
      </c>
      <c r="T36" s="481" t="e">
        <f t="shared" si="9"/>
        <v>#REF!</v>
      </c>
      <c r="U36" s="481" t="e">
        <f t="shared" si="9"/>
        <v>#REF!</v>
      </c>
      <c r="V36" s="481" t="e">
        <f t="shared" si="9"/>
        <v>#REF!</v>
      </c>
    </row>
  </sheetData>
  <sheetProtection/>
  <mergeCells count="2">
    <mergeCell ref="B3:B4"/>
    <mergeCell ref="C3:V3"/>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23"/>
  <dimension ref="A1:T21"/>
  <sheetViews>
    <sheetView zoomScaleSheetLayoutView="80" zoomScalePageLayoutView="0" workbookViewId="0" topLeftCell="A1">
      <selection activeCell="A1" sqref="A1:T1"/>
    </sheetView>
  </sheetViews>
  <sheetFormatPr defaultColWidth="9.140625" defaultRowHeight="12.75"/>
  <cols>
    <col min="1" max="1" width="6.28125" style="184" customWidth="1"/>
    <col min="2" max="2" width="19.7109375" style="184" customWidth="1"/>
    <col min="3" max="6" width="13.421875" style="184" customWidth="1"/>
    <col min="7" max="7" width="14.00390625" style="184" customWidth="1"/>
    <col min="8" max="8" width="13.421875" style="184" customWidth="1"/>
    <col min="9" max="9" width="13.140625" style="184" customWidth="1"/>
    <col min="10" max="12" width="13.421875" style="184" customWidth="1"/>
    <col min="13" max="13" width="13.28125" style="184" customWidth="1"/>
    <col min="14" max="14" width="13.421875" style="184" customWidth="1"/>
    <col min="15" max="15" width="13.28125" style="184" customWidth="1"/>
    <col min="16" max="16" width="13.421875" style="184" customWidth="1"/>
    <col min="17" max="17" width="13.140625" style="184" customWidth="1"/>
    <col min="18" max="18" width="13.7109375" style="184" customWidth="1"/>
    <col min="19" max="19" width="12.8515625" style="184" customWidth="1"/>
    <col min="20" max="20" width="16.00390625" style="184" customWidth="1"/>
    <col min="21" max="16384" width="9.140625" style="184" customWidth="1"/>
  </cols>
  <sheetData>
    <row r="1" spans="1:20" ht="15.75" thickBot="1">
      <c r="A1" s="584" t="s">
        <v>472</v>
      </c>
      <c r="B1" s="585"/>
      <c r="C1" s="585"/>
      <c r="D1" s="585"/>
      <c r="E1" s="585"/>
      <c r="F1" s="585"/>
      <c r="G1" s="585"/>
      <c r="H1" s="585"/>
      <c r="I1" s="585"/>
      <c r="J1" s="585"/>
      <c r="K1" s="585"/>
      <c r="L1" s="585"/>
      <c r="M1" s="585"/>
      <c r="N1" s="585"/>
      <c r="O1" s="585"/>
      <c r="P1" s="585"/>
      <c r="Q1" s="585"/>
      <c r="R1" s="585"/>
      <c r="S1" s="585"/>
      <c r="T1" s="586"/>
    </row>
    <row r="2" spans="1:20" ht="12" thickBot="1">
      <c r="A2" s="587" t="s">
        <v>397</v>
      </c>
      <c r="B2" s="588"/>
      <c r="C2" s="588"/>
      <c r="D2" s="588"/>
      <c r="E2" s="588"/>
      <c r="F2" s="588"/>
      <c r="G2" s="588"/>
      <c r="H2" s="588"/>
      <c r="I2" s="588"/>
      <c r="J2" s="588"/>
      <c r="K2" s="588"/>
      <c r="L2" s="588"/>
      <c r="M2" s="588"/>
      <c r="N2" s="588"/>
      <c r="O2" s="588"/>
      <c r="P2" s="588"/>
      <c r="Q2" s="588"/>
      <c r="R2" s="588"/>
      <c r="S2" s="588"/>
      <c r="T2" s="589"/>
    </row>
    <row r="3" spans="1:20" ht="23.25" thickBot="1">
      <c r="A3" s="185" t="s">
        <v>398</v>
      </c>
      <c r="B3" s="185" t="s">
        <v>215</v>
      </c>
      <c r="C3" s="186" t="s">
        <v>399</v>
      </c>
      <c r="D3" s="187" t="s">
        <v>400</v>
      </c>
      <c r="E3" s="186" t="s">
        <v>401</v>
      </c>
      <c r="F3" s="186" t="s">
        <v>402</v>
      </c>
      <c r="G3" s="186" t="s">
        <v>403</v>
      </c>
      <c r="H3" s="186" t="s">
        <v>404</v>
      </c>
      <c r="I3" s="186" t="s">
        <v>405</v>
      </c>
      <c r="J3" s="186" t="s">
        <v>406</v>
      </c>
      <c r="K3" s="186" t="s">
        <v>407</v>
      </c>
      <c r="L3" s="186" t="s">
        <v>408</v>
      </c>
      <c r="M3" s="186" t="s">
        <v>409</v>
      </c>
      <c r="N3" s="186" t="s">
        <v>410</v>
      </c>
      <c r="O3" s="186" t="s">
        <v>411</v>
      </c>
      <c r="P3" s="186" t="s">
        <v>412</v>
      </c>
      <c r="Q3" s="186" t="s">
        <v>413</v>
      </c>
      <c r="R3" s="186" t="s">
        <v>414</v>
      </c>
      <c r="S3" s="186" t="s">
        <v>415</v>
      </c>
      <c r="T3" s="186" t="s">
        <v>416</v>
      </c>
    </row>
    <row r="4" spans="1:20" ht="23.25" thickBot="1">
      <c r="A4" s="188">
        <v>1</v>
      </c>
      <c r="B4" s="189" t="s">
        <v>417</v>
      </c>
      <c r="C4" s="190">
        <v>3654152.749209507</v>
      </c>
      <c r="D4" s="190">
        <v>3818860.386669982</v>
      </c>
      <c r="E4" s="190">
        <v>3991803.4060034817</v>
      </c>
      <c r="F4" s="190">
        <v>4173393.5763036557</v>
      </c>
      <c r="G4" s="190">
        <v>4364063.2551188385</v>
      </c>
      <c r="H4" s="190">
        <v>4564266.4178747805</v>
      </c>
      <c r="I4" s="190">
        <v>4774479.73876852</v>
      </c>
      <c r="J4" s="190">
        <v>4995203.725706946</v>
      </c>
      <c r="K4" s="190">
        <v>5226963.911992294</v>
      </c>
      <c r="L4" s="190">
        <v>5470312.107591908</v>
      </c>
      <c r="M4" s="190">
        <v>5725827.712971504</v>
      </c>
      <c r="N4" s="190">
        <v>5994119.098620079</v>
      </c>
      <c r="O4" s="190">
        <v>6275825.053551083</v>
      </c>
      <c r="P4" s="190">
        <v>6571616.306228638</v>
      </c>
      <c r="Q4" s="190">
        <v>6882197.12154007</v>
      </c>
      <c r="R4" s="190">
        <v>7208306.977617074</v>
      </c>
      <c r="S4" s="190">
        <v>7550722.326497928</v>
      </c>
      <c r="T4" s="191">
        <f aca="true" t="shared" si="0" ref="T4:T9">SUM(C4:S4)</f>
        <v>91242113.8722663</v>
      </c>
    </row>
    <row r="5" spans="1:20" ht="12" thickBot="1">
      <c r="A5" s="188">
        <v>2</v>
      </c>
      <c r="B5" s="189" t="s">
        <v>255</v>
      </c>
      <c r="C5" s="190">
        <v>12234286.918306181</v>
      </c>
      <c r="D5" s="190">
        <v>12723658.395038428</v>
      </c>
      <c r="E5" s="190">
        <v>13232604.730839968</v>
      </c>
      <c r="F5" s="190">
        <v>13761908.920073567</v>
      </c>
      <c r="G5" s="190">
        <v>14312385.27687651</v>
      </c>
      <c r="H5" s="190">
        <v>14884880.68795157</v>
      </c>
      <c r="I5" s="190">
        <v>15480275.915469633</v>
      </c>
      <c r="J5" s="190">
        <v>16099486.952088421</v>
      </c>
      <c r="K5" s="190">
        <v>16743466.43017196</v>
      </c>
      <c r="L5" s="190">
        <v>17413205.087378837</v>
      </c>
      <c r="M5" s="190">
        <v>18109733.29087399</v>
      </c>
      <c r="N5" s="190">
        <v>18834122.62250895</v>
      </c>
      <c r="O5" s="190">
        <v>19587487.527409308</v>
      </c>
      <c r="P5" s="190">
        <v>20370987.028505683</v>
      </c>
      <c r="Q5" s="190">
        <v>21185826.509645913</v>
      </c>
      <c r="R5" s="190">
        <v>22033259.570031747</v>
      </c>
      <c r="S5" s="190">
        <v>22914589.95283302</v>
      </c>
      <c r="T5" s="191">
        <f t="shared" si="0"/>
        <v>289922165.8160036</v>
      </c>
    </row>
    <row r="6" spans="1:20" ht="12" thickBot="1">
      <c r="A6" s="188">
        <v>3</v>
      </c>
      <c r="B6" s="189" t="s">
        <v>254</v>
      </c>
      <c r="C6" s="190">
        <v>7218288.218574988</v>
      </c>
      <c r="D6" s="190">
        <v>7940117.040432488</v>
      </c>
      <c r="E6" s="190">
        <v>8734128.744475737</v>
      </c>
      <c r="F6" s="190">
        <v>9607541.618923312</v>
      </c>
      <c r="G6" s="190">
        <v>10568295.780815642</v>
      </c>
      <c r="H6" s="190">
        <v>11625125.35889721</v>
      </c>
      <c r="I6" s="190">
        <v>12787637.894786928</v>
      </c>
      <c r="J6" s="190">
        <v>14066401.684265623</v>
      </c>
      <c r="K6" s="190">
        <v>15473041.852692185</v>
      </c>
      <c r="L6" s="190">
        <v>17020346.037961405</v>
      </c>
      <c r="M6" s="190">
        <v>18722380.641757548</v>
      </c>
      <c r="N6" s="190">
        <v>20594618.705933303</v>
      </c>
      <c r="O6" s="190">
        <v>22654080.576526638</v>
      </c>
      <c r="P6" s="190">
        <v>24919488.6341793</v>
      </c>
      <c r="Q6" s="190">
        <v>27411437.497597232</v>
      </c>
      <c r="R6" s="190">
        <v>30152581.24735696</v>
      </c>
      <c r="S6" s="190">
        <v>33167839.37209265</v>
      </c>
      <c r="T6" s="191">
        <f t="shared" si="0"/>
        <v>292663350.9072692</v>
      </c>
    </row>
    <row r="7" spans="1:20" ht="12" thickBot="1">
      <c r="A7" s="188">
        <v>4</v>
      </c>
      <c r="B7" s="189" t="s">
        <v>418</v>
      </c>
      <c r="C7" s="190">
        <v>155766.96526581395</v>
      </c>
      <c r="D7" s="190">
        <v>444522.8281515378</v>
      </c>
      <c r="E7" s="190">
        <v>789368.2912954151</v>
      </c>
      <c r="F7" s="190">
        <v>1340679.5128964586</v>
      </c>
      <c r="G7" s="190">
        <v>1117483.840713317</v>
      </c>
      <c r="H7" s="190">
        <v>919532.8796797869</v>
      </c>
      <c r="I7" s="190">
        <v>1461767.9926977837</v>
      </c>
      <c r="J7" s="190">
        <v>856401.7928553052</v>
      </c>
      <c r="K7" s="190">
        <v>1105045.3128346808</v>
      </c>
      <c r="L7" s="190">
        <v>1642858.7498661447</v>
      </c>
      <c r="M7" s="190">
        <v>902478.5361081914</v>
      </c>
      <c r="N7" s="190">
        <v>898206.5086681996</v>
      </c>
      <c r="O7" s="190">
        <v>1481925.0222826889</v>
      </c>
      <c r="P7" s="190">
        <v>1050103.9903019168</v>
      </c>
      <c r="Q7" s="190">
        <v>1634484.8793533584</v>
      </c>
      <c r="R7" s="190">
        <v>868176.9035615658</v>
      </c>
      <c r="S7" s="190">
        <v>952766.5838879267</v>
      </c>
      <c r="T7" s="191">
        <f t="shared" si="0"/>
        <v>17621570.590420093</v>
      </c>
    </row>
    <row r="8" spans="1:20" ht="12" thickBot="1">
      <c r="A8" s="188">
        <v>5</v>
      </c>
      <c r="B8" s="189" t="s">
        <v>419</v>
      </c>
      <c r="C8" s="190">
        <v>416136.7477896221</v>
      </c>
      <c r="D8" s="190">
        <v>432782.21770120703</v>
      </c>
      <c r="E8" s="190">
        <v>450093.5064092553</v>
      </c>
      <c r="F8" s="190">
        <v>468097.24666562554</v>
      </c>
      <c r="G8" s="190">
        <v>486821.1365322506</v>
      </c>
      <c r="H8" s="190">
        <v>506293.98199354066</v>
      </c>
      <c r="I8" s="190">
        <v>526545.7412732823</v>
      </c>
      <c r="J8" s="190">
        <v>535233.7075064771</v>
      </c>
      <c r="K8" s="190">
        <v>569511.8737611822</v>
      </c>
      <c r="L8" s="190">
        <v>592292.3487116294</v>
      </c>
      <c r="M8" s="190">
        <v>615984.0426600946</v>
      </c>
      <c r="N8" s="190">
        <v>640623.4043664983</v>
      </c>
      <c r="O8" s="190">
        <v>666248.3405411583</v>
      </c>
      <c r="P8" s="190">
        <v>692898.2741628047</v>
      </c>
      <c r="Q8" s="190">
        <v>720614.2051293169</v>
      </c>
      <c r="R8" s="190">
        <v>749438.7733344896</v>
      </c>
      <c r="S8" s="190">
        <v>779416.3242678691</v>
      </c>
      <c r="T8" s="191">
        <f t="shared" si="0"/>
        <v>9849031.872806303</v>
      </c>
    </row>
    <row r="9" spans="1:20" ht="12" thickBot="1">
      <c r="A9" s="188">
        <v>6</v>
      </c>
      <c r="B9" s="189" t="s">
        <v>420</v>
      </c>
      <c r="C9" s="190">
        <v>1129569.193398945</v>
      </c>
      <c r="D9" s="190">
        <v>744646.0315516473</v>
      </c>
      <c r="E9" s="190">
        <v>774431.8728137134</v>
      </c>
      <c r="F9" s="190">
        <v>805409.1477262621</v>
      </c>
      <c r="G9" s="190">
        <v>837625.5136353126</v>
      </c>
      <c r="H9" s="190">
        <v>871130.5341807251</v>
      </c>
      <c r="I9" s="190">
        <v>905975.7555479541</v>
      </c>
      <c r="J9" s="190">
        <v>942214.7857698721</v>
      </c>
      <c r="K9" s="190">
        <v>979903.3772006672</v>
      </c>
      <c r="L9" s="190">
        <v>1019099.5122886942</v>
      </c>
      <c r="M9" s="190">
        <v>1059863.4927802416</v>
      </c>
      <c r="N9" s="190">
        <v>1102258.0324914514</v>
      </c>
      <c r="O9" s="190">
        <v>1146348.3537911095</v>
      </c>
      <c r="P9" s="190">
        <v>1192202.2879427536</v>
      </c>
      <c r="Q9" s="190">
        <v>1239890.379460464</v>
      </c>
      <c r="R9" s="190">
        <v>1289485.9946388828</v>
      </c>
      <c r="S9" s="190">
        <v>1341065.434424438</v>
      </c>
      <c r="T9" s="191">
        <f t="shared" si="0"/>
        <v>17381119.699643135</v>
      </c>
    </row>
    <row r="10" spans="1:20" ht="12" thickBot="1">
      <c r="A10" s="198"/>
      <c r="B10" s="198" t="s">
        <v>211</v>
      </c>
      <c r="C10" s="199">
        <f>SUM(C4:C9)</f>
        <v>24808200.792545054</v>
      </c>
      <c r="D10" s="199">
        <f aca="true" t="shared" si="1" ref="D10:S10">SUM(D4:D9)</f>
        <v>26104586.899545293</v>
      </c>
      <c r="E10" s="199">
        <f t="shared" si="1"/>
        <v>27972430.55183757</v>
      </c>
      <c r="F10" s="199">
        <f t="shared" si="1"/>
        <v>30157030.022588886</v>
      </c>
      <c r="G10" s="199">
        <f t="shared" si="1"/>
        <v>31686674.80369187</v>
      </c>
      <c r="H10" s="199">
        <f t="shared" si="1"/>
        <v>33371229.860577617</v>
      </c>
      <c r="I10" s="199">
        <f t="shared" si="1"/>
        <v>35936683.0385441</v>
      </c>
      <c r="J10" s="199">
        <f t="shared" si="1"/>
        <v>37494942.648192644</v>
      </c>
      <c r="K10" s="199">
        <f t="shared" si="1"/>
        <v>40097932.75865297</v>
      </c>
      <c r="L10" s="199">
        <f t="shared" si="1"/>
        <v>43158113.84379862</v>
      </c>
      <c r="M10" s="199">
        <f t="shared" si="1"/>
        <v>45136267.71715157</v>
      </c>
      <c r="N10" s="199">
        <f t="shared" si="1"/>
        <v>48063948.372588485</v>
      </c>
      <c r="O10" s="199">
        <f t="shared" si="1"/>
        <v>51811914.874102</v>
      </c>
      <c r="P10" s="199">
        <f t="shared" si="1"/>
        <v>54797296.521321096</v>
      </c>
      <c r="Q10" s="199">
        <f t="shared" si="1"/>
        <v>59074450.59272635</v>
      </c>
      <c r="R10" s="199">
        <f t="shared" si="1"/>
        <v>62301249.46654072</v>
      </c>
      <c r="S10" s="199">
        <f t="shared" si="1"/>
        <v>66706399.99400383</v>
      </c>
      <c r="T10" s="199"/>
    </row>
    <row r="11" spans="1:20" ht="12" thickBot="1">
      <c r="A11" s="200"/>
      <c r="B11" s="590" t="s">
        <v>421</v>
      </c>
      <c r="C11" s="591"/>
      <c r="D11" s="591"/>
      <c r="E11" s="591"/>
      <c r="F11" s="591"/>
      <c r="G11" s="591"/>
      <c r="H11" s="591"/>
      <c r="I11" s="591"/>
      <c r="J11" s="591"/>
      <c r="K11" s="591"/>
      <c r="L11" s="591"/>
      <c r="M11" s="591"/>
      <c r="N11" s="591"/>
      <c r="O11" s="591"/>
      <c r="P11" s="591"/>
      <c r="Q11" s="591"/>
      <c r="R11" s="591"/>
      <c r="S11" s="592"/>
      <c r="T11" s="201">
        <f>SUM(C10:T10)</f>
        <v>718679352.7584088</v>
      </c>
    </row>
    <row r="12" ht="12" thickBot="1"/>
    <row r="13" ht="11.25">
      <c r="B13" s="192"/>
    </row>
    <row r="14" ht="11.25">
      <c r="B14" s="193"/>
    </row>
    <row r="15" spans="2:3" ht="12" thickBot="1">
      <c r="B15" s="194"/>
      <c r="C15" s="195"/>
    </row>
    <row r="17" ht="15" customHeight="1"/>
    <row r="18" ht="15" customHeight="1">
      <c r="C18" s="196"/>
    </row>
    <row r="19" ht="15" customHeight="1"/>
    <row r="21" spans="4:7" ht="11.25">
      <c r="D21" s="197"/>
      <c r="E21" s="197"/>
      <c r="F21" s="197"/>
      <c r="G21" s="197"/>
    </row>
  </sheetData>
  <sheetProtection/>
  <mergeCells count="3">
    <mergeCell ref="A1:T1"/>
    <mergeCell ref="A2:T2"/>
    <mergeCell ref="B11:S11"/>
  </mergeCells>
  <printOptions horizontalCentered="1"/>
  <pageMargins left="0.5" right="0.5" top="1" bottom="1" header="0.5" footer="0.5"/>
  <pageSetup fitToHeight="4" horizontalDpi="600" verticalDpi="600" orientation="landscape" paperSize="8" scale="75" r:id="rId1"/>
</worksheet>
</file>

<file path=xl/worksheets/sheet14.xml><?xml version="1.0" encoding="utf-8"?>
<worksheet xmlns="http://schemas.openxmlformats.org/spreadsheetml/2006/main" xmlns:r="http://schemas.openxmlformats.org/officeDocument/2006/relationships">
  <sheetPr codeName="Feuil5"/>
  <dimension ref="B1:CV128"/>
  <sheetViews>
    <sheetView showGridLines="0" zoomScale="130" zoomScaleNormal="130" zoomScalePageLayoutView="0" workbookViewId="0" topLeftCell="A1">
      <selection activeCell="A1" sqref="A1"/>
    </sheetView>
  </sheetViews>
  <sheetFormatPr defaultColWidth="8.57421875" defaultRowHeight="12.75"/>
  <cols>
    <col min="1" max="1" width="6.8515625" style="207" customWidth="1"/>
    <col min="2" max="2" width="8.28125" style="220" customWidth="1"/>
    <col min="3" max="3" width="34.140625" style="207" customWidth="1"/>
    <col min="4" max="4" width="11.00390625" style="207" customWidth="1"/>
    <col min="5" max="5" width="14.140625" style="207" customWidth="1"/>
    <col min="6" max="6" width="14.8515625" style="207" bestFit="1" customWidth="1"/>
    <col min="7" max="7" width="17.421875" style="207" customWidth="1"/>
    <col min="8" max="8" width="17.00390625" style="207" customWidth="1"/>
    <col min="9" max="9" width="14.57421875" style="207" hidden="1" customWidth="1"/>
    <col min="10" max="10" width="15.28125" style="207" customWidth="1"/>
    <col min="11" max="11" width="13.8515625" style="207" customWidth="1"/>
    <col min="12" max="12" width="19.140625" style="207" customWidth="1"/>
    <col min="13" max="13" width="13.8515625" style="207" hidden="1" customWidth="1"/>
    <col min="14" max="14" width="5.28125" style="207" hidden="1" customWidth="1"/>
    <col min="15" max="15" width="9.28125" style="207" hidden="1" customWidth="1"/>
    <col min="16" max="16" width="45.7109375" style="207" hidden="1" customWidth="1"/>
    <col min="17" max="17" width="8.57421875" style="207" hidden="1" customWidth="1"/>
    <col min="18" max="18" width="7.8515625" style="207" hidden="1" customWidth="1"/>
    <col min="19" max="19" width="15.00390625" style="207" hidden="1" customWidth="1"/>
    <col min="20" max="20" width="13.57421875" style="207" hidden="1" customWidth="1"/>
    <col min="21" max="21" width="14.28125" style="207" hidden="1" customWidth="1"/>
    <col min="22" max="22" width="12.00390625" style="208" hidden="1" customWidth="1"/>
    <col min="23" max="23" width="12.00390625" style="207" hidden="1" customWidth="1"/>
    <col min="24" max="26" width="8.7109375" style="209" hidden="1" customWidth="1"/>
    <col min="27" max="29" width="7.7109375" style="209" hidden="1" customWidth="1"/>
    <col min="30" max="30" width="12.00390625" style="207" hidden="1" customWidth="1"/>
    <col min="31" max="31" width="12.00390625" style="210" hidden="1" customWidth="1"/>
    <col min="32" max="37" width="7.7109375" style="209" hidden="1" customWidth="1"/>
    <col min="38" max="38" width="3.8515625" style="207" hidden="1" customWidth="1"/>
    <col min="39" max="39" width="11.00390625" style="210" hidden="1" customWidth="1"/>
    <col min="40" max="40" width="7.7109375" style="207" hidden="1" customWidth="1"/>
    <col min="41" max="45" width="0" style="207" hidden="1" customWidth="1"/>
    <col min="46" max="46" width="3.8515625" style="207" hidden="1" customWidth="1"/>
    <col min="47" max="47" width="11.00390625" style="207" hidden="1" customWidth="1"/>
    <col min="48" max="53" width="0" style="207" hidden="1" customWidth="1"/>
    <col min="54" max="54" width="3.8515625" style="207" hidden="1" customWidth="1"/>
    <col min="55" max="55" width="11.00390625" style="207" hidden="1" customWidth="1"/>
    <col min="56" max="61" width="0" style="207" hidden="1" customWidth="1"/>
    <col min="62" max="62" width="3.8515625" style="207" hidden="1" customWidth="1"/>
    <col min="63" max="63" width="11.00390625" style="207" hidden="1" customWidth="1"/>
    <col min="64" max="69" width="0" style="207" hidden="1" customWidth="1"/>
    <col min="70" max="70" width="3.8515625" style="207" hidden="1" customWidth="1"/>
    <col min="71" max="71" width="11.00390625" style="207" hidden="1" customWidth="1"/>
    <col min="72" max="77" width="0" style="207" hidden="1" customWidth="1"/>
    <col min="78" max="78" width="3.8515625" style="207" hidden="1" customWidth="1"/>
    <col min="79" max="79" width="11.00390625" style="207" hidden="1" customWidth="1"/>
    <col min="80" max="85" width="0" style="207" hidden="1" customWidth="1"/>
    <col min="86" max="86" width="3.8515625" style="207" hidden="1" customWidth="1"/>
    <col min="87" max="87" width="12.00390625" style="207" hidden="1" customWidth="1"/>
    <col min="88" max="88" width="0" style="207" hidden="1" customWidth="1"/>
    <col min="89" max="90" width="7.7109375" style="207" hidden="1" customWidth="1"/>
    <col min="91" max="93" width="0" style="207" hidden="1" customWidth="1"/>
    <col min="94" max="94" width="3.8515625" style="207" hidden="1" customWidth="1"/>
    <col min="95" max="95" width="12.8515625" style="207" hidden="1" customWidth="1"/>
    <col min="96" max="96" width="7.421875" style="207" hidden="1" customWidth="1"/>
    <col min="97" max="97" width="8.57421875" style="207" hidden="1" customWidth="1"/>
    <col min="98" max="98" width="5.28125" style="207" hidden="1" customWidth="1"/>
    <col min="99" max="99" width="13.57421875" style="207" hidden="1" customWidth="1"/>
    <col min="100" max="16384" width="8.57421875" style="207" customWidth="1"/>
  </cols>
  <sheetData>
    <row r="1" spans="2:9" ht="12.75">
      <c r="B1" s="204" t="s">
        <v>250</v>
      </c>
      <c r="C1" s="205"/>
      <c r="D1" s="202"/>
      <c r="E1" s="202"/>
      <c r="F1" s="203"/>
      <c r="G1" s="206"/>
      <c r="H1" s="205"/>
      <c r="I1" s="205"/>
    </row>
    <row r="2" spans="2:9" ht="17.25" customHeight="1">
      <c r="B2" s="211"/>
      <c r="C2" s="205"/>
      <c r="D2" s="211"/>
      <c r="E2" s="212"/>
      <c r="F2" s="212"/>
      <c r="G2" s="206"/>
      <c r="H2" s="205"/>
      <c r="I2" s="205"/>
    </row>
    <row r="3" spans="2:22" ht="17.25" customHeight="1" thickBot="1">
      <c r="B3" s="205"/>
      <c r="C3" s="211"/>
      <c r="D3" s="211"/>
      <c r="E3" s="213"/>
      <c r="F3" s="212"/>
      <c r="G3" s="206"/>
      <c r="H3" s="205"/>
      <c r="I3" s="205"/>
      <c r="V3" s="214" t="e">
        <v>#REF!</v>
      </c>
    </row>
    <row r="4" spans="2:23" ht="12" thickBot="1">
      <c r="B4" s="211" t="s">
        <v>258</v>
      </c>
      <c r="C4" s="205"/>
      <c r="D4" s="440"/>
      <c r="E4" s="441"/>
      <c r="F4" s="441"/>
      <c r="G4" s="206"/>
      <c r="H4" s="205"/>
      <c r="I4" s="205"/>
      <c r="S4" s="215" t="e">
        <v>#REF!</v>
      </c>
      <c r="T4" s="216"/>
      <c r="U4" s="216" t="e">
        <v>#REF!</v>
      </c>
      <c r="V4" s="217" t="e">
        <v>#REF!</v>
      </c>
      <c r="W4" s="218" t="e">
        <v>#REF!</v>
      </c>
    </row>
    <row r="5" spans="2:23" ht="11.25">
      <c r="B5" s="219">
        <v>2010</v>
      </c>
      <c r="C5" s="219"/>
      <c r="D5" s="442"/>
      <c r="E5" s="442"/>
      <c r="F5" s="442"/>
      <c r="G5" s="219"/>
      <c r="H5" s="219"/>
      <c r="I5" s="219"/>
      <c r="O5" s="220"/>
      <c r="P5" s="596" t="s">
        <v>259</v>
      </c>
      <c r="Q5" s="597"/>
      <c r="R5" s="597"/>
      <c r="S5" s="597"/>
      <c r="T5" s="221"/>
      <c r="U5" s="221"/>
      <c r="W5" s="207" t="s">
        <v>260</v>
      </c>
    </row>
    <row r="6" spans="3:87" ht="18" customHeight="1" thickBot="1">
      <c r="C6" s="222"/>
      <c r="D6" s="222"/>
      <c r="E6" s="223"/>
      <c r="F6" s="223"/>
      <c r="G6" s="224"/>
      <c r="H6" s="225"/>
      <c r="O6" s="226" t="s">
        <v>261</v>
      </c>
      <c r="P6" s="227" t="s">
        <v>262</v>
      </c>
      <c r="Q6" s="228"/>
      <c r="R6" s="229"/>
      <c r="S6" s="230" t="s">
        <v>156</v>
      </c>
      <c r="T6" s="230" t="s">
        <v>263</v>
      </c>
      <c r="U6" s="231" t="s">
        <v>156</v>
      </c>
      <c r="AE6" s="210">
        <v>0</v>
      </c>
      <c r="AM6" s="210">
        <v>272712078.78159326</v>
      </c>
      <c r="AU6" s="210">
        <v>2012263.099219621</v>
      </c>
      <c r="BC6" s="210">
        <v>13704570.791527312</v>
      </c>
      <c r="BK6" s="210">
        <v>0</v>
      </c>
      <c r="BS6" s="210">
        <v>0</v>
      </c>
      <c r="CA6" s="210">
        <v>0</v>
      </c>
      <c r="CI6" s="210" t="e">
        <v>#REF!</v>
      </c>
    </row>
    <row r="7" spans="3:93" ht="17.25" customHeight="1" thickBot="1">
      <c r="C7" s="211"/>
      <c r="D7" s="211"/>
      <c r="E7" s="212"/>
      <c r="F7" s="212"/>
      <c r="G7" s="206"/>
      <c r="H7" s="205"/>
      <c r="I7" s="205"/>
      <c r="J7" s="210"/>
      <c r="K7" s="210"/>
      <c r="L7" s="210"/>
      <c r="M7" s="210"/>
      <c r="O7" s="232"/>
      <c r="P7" s="233"/>
      <c r="Q7" s="234"/>
      <c r="R7" s="234"/>
      <c r="S7" s="235" t="s">
        <v>264</v>
      </c>
      <c r="T7" s="236" t="s">
        <v>265</v>
      </c>
      <c r="U7" s="237" t="s">
        <v>266</v>
      </c>
      <c r="W7" s="238" t="e">
        <v>#REF!</v>
      </c>
      <c r="X7" s="239" t="e">
        <v>#REF!</v>
      </c>
      <c r="Y7" s="239" t="e">
        <v>#REF!</v>
      </c>
      <c r="Z7" s="239" t="e">
        <v>#REF!</v>
      </c>
      <c r="AA7" s="239" t="e">
        <v>#REF!</v>
      </c>
      <c r="AB7" s="239" t="e">
        <v>#REF!</v>
      </c>
      <c r="AC7" s="240" t="e">
        <v>#REF!</v>
      </c>
      <c r="AE7" s="593" t="s">
        <v>267</v>
      </c>
      <c r="AF7" s="594"/>
      <c r="AG7" s="594"/>
      <c r="AH7" s="594"/>
      <c r="AI7" s="594"/>
      <c r="AJ7" s="594"/>
      <c r="AK7" s="595"/>
      <c r="AM7" s="593" t="s">
        <v>268</v>
      </c>
      <c r="AN7" s="594"/>
      <c r="AO7" s="594"/>
      <c r="AP7" s="594"/>
      <c r="AQ7" s="594"/>
      <c r="AR7" s="594"/>
      <c r="AS7" s="595"/>
      <c r="AU7" s="593" t="s">
        <v>269</v>
      </c>
      <c r="AV7" s="594"/>
      <c r="AW7" s="594"/>
      <c r="AX7" s="594"/>
      <c r="AY7" s="594"/>
      <c r="AZ7" s="594"/>
      <c r="BA7" s="595"/>
      <c r="BC7" s="593" t="s">
        <v>270</v>
      </c>
      <c r="BD7" s="594"/>
      <c r="BE7" s="594"/>
      <c r="BF7" s="594"/>
      <c r="BG7" s="594"/>
      <c r="BH7" s="594"/>
      <c r="BI7" s="595"/>
      <c r="BK7" s="593" t="s">
        <v>271</v>
      </c>
      <c r="BL7" s="594"/>
      <c r="BM7" s="594"/>
      <c r="BN7" s="594"/>
      <c r="BO7" s="594"/>
      <c r="BP7" s="594"/>
      <c r="BQ7" s="595"/>
      <c r="BS7" s="593" t="s">
        <v>272</v>
      </c>
      <c r="BT7" s="594"/>
      <c r="BU7" s="594"/>
      <c r="BV7" s="594"/>
      <c r="BW7" s="594"/>
      <c r="BX7" s="594"/>
      <c r="BY7" s="595"/>
      <c r="CA7" s="593" t="s">
        <v>273</v>
      </c>
      <c r="CB7" s="594"/>
      <c r="CC7" s="594"/>
      <c r="CD7" s="594"/>
      <c r="CE7" s="594"/>
      <c r="CF7" s="594"/>
      <c r="CG7" s="595"/>
      <c r="CI7" s="593" t="s">
        <v>274</v>
      </c>
      <c r="CJ7" s="594"/>
      <c r="CK7" s="594"/>
      <c r="CL7" s="594"/>
      <c r="CM7" s="594"/>
      <c r="CN7" s="594"/>
      <c r="CO7" s="595"/>
    </row>
    <row r="8" spans="2:93" ht="12" thickBot="1">
      <c r="B8" s="241" t="s">
        <v>275</v>
      </c>
      <c r="G8" s="242"/>
      <c r="H8" s="242"/>
      <c r="O8" s="243"/>
      <c r="P8" s="244"/>
      <c r="Q8" s="244"/>
      <c r="R8" s="245" t="s">
        <v>276</v>
      </c>
      <c r="S8" s="243"/>
      <c r="T8" s="246"/>
      <c r="U8" s="247"/>
      <c r="V8" s="208" t="s">
        <v>277</v>
      </c>
      <c r="W8" s="248" t="s">
        <v>278</v>
      </c>
      <c r="X8" s="249" t="s">
        <v>279</v>
      </c>
      <c r="Y8" s="249" t="s">
        <v>280</v>
      </c>
      <c r="Z8" s="249" t="s">
        <v>281</v>
      </c>
      <c r="AA8" s="249" t="s">
        <v>210</v>
      </c>
      <c r="AB8" s="249" t="s">
        <v>282</v>
      </c>
      <c r="AC8" s="250" t="s">
        <v>283</v>
      </c>
      <c r="AE8" s="251" t="s">
        <v>284</v>
      </c>
      <c r="AF8" s="252" t="s">
        <v>279</v>
      </c>
      <c r="AG8" s="253" t="s">
        <v>280</v>
      </c>
      <c r="AH8" s="253" t="s">
        <v>281</v>
      </c>
      <c r="AI8" s="253" t="s">
        <v>210</v>
      </c>
      <c r="AJ8" s="253" t="s">
        <v>282</v>
      </c>
      <c r="AK8" s="254" t="s">
        <v>283</v>
      </c>
      <c r="AM8" s="251" t="s">
        <v>285</v>
      </c>
      <c r="AN8" s="255" t="s">
        <v>279</v>
      </c>
      <c r="AO8" s="256" t="s">
        <v>280</v>
      </c>
      <c r="AP8" s="256" t="s">
        <v>281</v>
      </c>
      <c r="AQ8" s="256" t="s">
        <v>210</v>
      </c>
      <c r="AR8" s="256" t="s">
        <v>282</v>
      </c>
      <c r="AS8" s="257" t="s">
        <v>283</v>
      </c>
      <c r="AU8" s="251" t="s">
        <v>286</v>
      </c>
      <c r="AV8" s="255" t="s">
        <v>279</v>
      </c>
      <c r="AW8" s="256" t="s">
        <v>280</v>
      </c>
      <c r="AX8" s="256" t="s">
        <v>281</v>
      </c>
      <c r="AY8" s="256" t="s">
        <v>210</v>
      </c>
      <c r="AZ8" s="256" t="s">
        <v>282</v>
      </c>
      <c r="BA8" s="257" t="s">
        <v>283</v>
      </c>
      <c r="BC8" s="251" t="s">
        <v>287</v>
      </c>
      <c r="BD8" s="255" t="s">
        <v>279</v>
      </c>
      <c r="BE8" s="256" t="s">
        <v>280</v>
      </c>
      <c r="BF8" s="256" t="s">
        <v>281</v>
      </c>
      <c r="BG8" s="256" t="s">
        <v>210</v>
      </c>
      <c r="BH8" s="256" t="s">
        <v>282</v>
      </c>
      <c r="BI8" s="257" t="s">
        <v>283</v>
      </c>
      <c r="BK8" s="251" t="s">
        <v>288</v>
      </c>
      <c r="BL8" s="255" t="s">
        <v>279</v>
      </c>
      <c r="BM8" s="256" t="s">
        <v>280</v>
      </c>
      <c r="BN8" s="256" t="s">
        <v>281</v>
      </c>
      <c r="BO8" s="256" t="s">
        <v>210</v>
      </c>
      <c r="BP8" s="256" t="s">
        <v>282</v>
      </c>
      <c r="BQ8" s="257" t="s">
        <v>283</v>
      </c>
      <c r="BS8" s="251" t="s">
        <v>289</v>
      </c>
      <c r="BT8" s="255" t="s">
        <v>279</v>
      </c>
      <c r="BU8" s="256" t="s">
        <v>280</v>
      </c>
      <c r="BV8" s="256" t="s">
        <v>281</v>
      </c>
      <c r="BW8" s="256" t="s">
        <v>210</v>
      </c>
      <c r="BX8" s="256" t="s">
        <v>282</v>
      </c>
      <c r="BY8" s="257" t="s">
        <v>283</v>
      </c>
      <c r="CA8" s="251" t="s">
        <v>290</v>
      </c>
      <c r="CB8" s="255" t="s">
        <v>279</v>
      </c>
      <c r="CC8" s="256" t="s">
        <v>280</v>
      </c>
      <c r="CD8" s="256" t="s">
        <v>281</v>
      </c>
      <c r="CE8" s="256" t="s">
        <v>210</v>
      </c>
      <c r="CF8" s="256" t="s">
        <v>282</v>
      </c>
      <c r="CG8" s="257" t="s">
        <v>283</v>
      </c>
      <c r="CI8" s="251" t="s">
        <v>291</v>
      </c>
      <c r="CJ8" s="255" t="s">
        <v>279</v>
      </c>
      <c r="CK8" s="256" t="s">
        <v>280</v>
      </c>
      <c r="CL8" s="256" t="s">
        <v>281</v>
      </c>
      <c r="CM8" s="256" t="s">
        <v>210</v>
      </c>
      <c r="CN8" s="256" t="s">
        <v>282</v>
      </c>
      <c r="CO8" s="257" t="s">
        <v>283</v>
      </c>
    </row>
    <row r="9" spans="4:99" ht="12" thickBot="1">
      <c r="D9" s="258" t="s">
        <v>292</v>
      </c>
      <c r="E9" s="259"/>
      <c r="F9" s="260"/>
      <c r="G9" s="261">
        <v>20</v>
      </c>
      <c r="H9" s="262" t="s">
        <v>293</v>
      </c>
      <c r="M9" s="263" t="e">
        <v>#REF!</v>
      </c>
      <c r="N9" s="207" t="s">
        <v>468</v>
      </c>
      <c r="O9" s="264" t="s">
        <v>294</v>
      </c>
      <c r="P9" s="265" t="s">
        <v>295</v>
      </c>
      <c r="Q9" s="266"/>
      <c r="R9" s="267"/>
      <c r="S9" s="268">
        <v>1136400</v>
      </c>
      <c r="T9" s="268"/>
      <c r="U9" s="269">
        <v>1266889.6321070234</v>
      </c>
      <c r="W9" s="270"/>
      <c r="X9" s="271"/>
      <c r="Y9" s="271"/>
      <c r="Z9" s="271"/>
      <c r="AA9" s="271"/>
      <c r="AB9" s="271"/>
      <c r="AC9" s="272"/>
      <c r="AD9" s="210"/>
      <c r="AE9" s="273">
        <v>0</v>
      </c>
      <c r="AF9" s="274">
        <v>0</v>
      </c>
      <c r="AG9" s="275">
        <v>0</v>
      </c>
      <c r="AH9" s="275">
        <v>0</v>
      </c>
      <c r="AI9" s="275" t="e">
        <v>#REF!</v>
      </c>
      <c r="AJ9" s="275">
        <v>0</v>
      </c>
      <c r="AK9" s="276">
        <v>0</v>
      </c>
      <c r="AM9" s="273">
        <v>272712078.78159326</v>
      </c>
      <c r="AN9" s="274" t="e">
        <v>#REF!</v>
      </c>
      <c r="AO9" s="275">
        <v>0</v>
      </c>
      <c r="AP9" s="275">
        <v>0</v>
      </c>
      <c r="AQ9" s="275" t="e">
        <v>#REF!</v>
      </c>
      <c r="AR9" s="275" t="e">
        <v>#REF!</v>
      </c>
      <c r="AS9" s="276" t="e">
        <v>#REF!</v>
      </c>
      <c r="AU9" s="273">
        <v>2012263.099219621</v>
      </c>
      <c r="AV9" s="274">
        <v>0</v>
      </c>
      <c r="AW9" s="275" t="e">
        <v>#REF!</v>
      </c>
      <c r="AX9" s="275">
        <v>0</v>
      </c>
      <c r="AY9" s="275">
        <v>0</v>
      </c>
      <c r="AZ9" s="275">
        <v>0</v>
      </c>
      <c r="BA9" s="276">
        <v>0</v>
      </c>
      <c r="BC9" s="273">
        <v>13704570.791527312</v>
      </c>
      <c r="BD9" s="274" t="e">
        <v>#REF!</v>
      </c>
      <c r="BE9" s="275">
        <v>0</v>
      </c>
      <c r="BF9" s="275">
        <v>0</v>
      </c>
      <c r="BG9" s="275" t="e">
        <v>#REF!</v>
      </c>
      <c r="BH9" s="275" t="e">
        <v>#REF!</v>
      </c>
      <c r="BI9" s="276" t="e">
        <v>#REF!</v>
      </c>
      <c r="BK9" s="273">
        <v>0</v>
      </c>
      <c r="BL9" s="274">
        <v>0</v>
      </c>
      <c r="BM9" s="275">
        <v>0</v>
      </c>
      <c r="BN9" s="275">
        <v>0</v>
      </c>
      <c r="BO9" s="275">
        <v>0</v>
      </c>
      <c r="BP9" s="275">
        <v>0</v>
      </c>
      <c r="BQ9" s="276">
        <v>0</v>
      </c>
      <c r="BS9" s="273">
        <v>0</v>
      </c>
      <c r="BT9" s="274">
        <v>0</v>
      </c>
      <c r="BU9" s="275">
        <v>0</v>
      </c>
      <c r="BV9" s="275">
        <v>0</v>
      </c>
      <c r="BW9" s="275">
        <v>0</v>
      </c>
      <c r="BX9" s="275">
        <v>0</v>
      </c>
      <c r="BY9" s="276">
        <v>0</v>
      </c>
      <c r="CA9" s="273">
        <v>0</v>
      </c>
      <c r="CB9" s="274">
        <v>0</v>
      </c>
      <c r="CC9" s="275">
        <v>0</v>
      </c>
      <c r="CD9" s="275">
        <v>0</v>
      </c>
      <c r="CE9" s="275" t="e">
        <v>#REF!</v>
      </c>
      <c r="CF9" s="275">
        <v>0</v>
      </c>
      <c r="CG9" s="276">
        <v>0</v>
      </c>
      <c r="CI9" s="273" t="e">
        <v>#REF!</v>
      </c>
      <c r="CJ9" s="274">
        <v>0</v>
      </c>
      <c r="CK9" s="275" t="e">
        <v>#REF!</v>
      </c>
      <c r="CL9" s="275" t="e">
        <v>#REF!</v>
      </c>
      <c r="CM9" s="275">
        <v>0</v>
      </c>
      <c r="CN9" s="275">
        <v>0</v>
      </c>
      <c r="CO9" s="276">
        <v>0</v>
      </c>
      <c r="CQ9" s="277"/>
      <c r="CR9" s="209" t="s">
        <v>469</v>
      </c>
      <c r="CT9" s="207" t="s">
        <v>468</v>
      </c>
      <c r="CU9" s="278">
        <v>1136400</v>
      </c>
    </row>
    <row r="10" spans="3:96" ht="11.25">
      <c r="C10" s="241"/>
      <c r="D10" s="279" t="s">
        <v>296</v>
      </c>
      <c r="E10" s="280"/>
      <c r="F10" s="281"/>
      <c r="G10" s="282" t="s">
        <v>297</v>
      </c>
      <c r="H10" s="283"/>
      <c r="M10" s="209" t="e">
        <v>#REF!</v>
      </c>
      <c r="O10" s="284" t="s">
        <v>251</v>
      </c>
      <c r="P10" s="280" t="s">
        <v>298</v>
      </c>
      <c r="Q10" s="244"/>
      <c r="R10" s="245"/>
      <c r="S10" s="285">
        <v>416400</v>
      </c>
      <c r="T10" s="286">
        <v>1.1148272017837235</v>
      </c>
      <c r="U10" s="287">
        <v>464214.0468227425</v>
      </c>
      <c r="V10" s="208" t="s">
        <v>285</v>
      </c>
      <c r="W10" s="248" t="s">
        <v>283</v>
      </c>
      <c r="X10" s="271" t="s">
        <v>469</v>
      </c>
      <c r="Y10" s="271" t="s">
        <v>469</v>
      </c>
      <c r="Z10" s="271" t="s">
        <v>469</v>
      </c>
      <c r="AA10" s="271" t="s">
        <v>469</v>
      </c>
      <c r="AB10" s="271" t="s">
        <v>469</v>
      </c>
      <c r="AC10" s="272" t="e">
        <v>#REF!</v>
      </c>
      <c r="AD10" s="210"/>
      <c r="AE10" s="288" t="s">
        <v>469</v>
      </c>
      <c r="AF10" s="289" t="s">
        <v>469</v>
      </c>
      <c r="AG10" s="290" t="s">
        <v>469</v>
      </c>
      <c r="AH10" s="290" t="s">
        <v>469</v>
      </c>
      <c r="AI10" s="290" t="s">
        <v>469</v>
      </c>
      <c r="AJ10" s="290" t="s">
        <v>469</v>
      </c>
      <c r="AK10" s="291" t="s">
        <v>469</v>
      </c>
      <c r="AM10" s="288">
        <v>464214.0468227425</v>
      </c>
      <c r="AN10" s="292" t="s">
        <v>469</v>
      </c>
      <c r="AO10" s="293" t="s">
        <v>469</v>
      </c>
      <c r="AP10" s="293" t="s">
        <v>469</v>
      </c>
      <c r="AQ10" s="293" t="s">
        <v>469</v>
      </c>
      <c r="AR10" s="293" t="s">
        <v>469</v>
      </c>
      <c r="AS10" s="294" t="e">
        <v>#REF!</v>
      </c>
      <c r="AU10" s="288" t="s">
        <v>469</v>
      </c>
      <c r="AV10" s="292" t="s">
        <v>469</v>
      </c>
      <c r="AW10" s="293" t="s">
        <v>469</v>
      </c>
      <c r="AX10" s="293" t="s">
        <v>469</v>
      </c>
      <c r="AY10" s="293" t="s">
        <v>469</v>
      </c>
      <c r="AZ10" s="293" t="s">
        <v>469</v>
      </c>
      <c r="BA10" s="294" t="s">
        <v>469</v>
      </c>
      <c r="BC10" s="288" t="s">
        <v>469</v>
      </c>
      <c r="BD10" s="292" t="s">
        <v>469</v>
      </c>
      <c r="BE10" s="293" t="s">
        <v>469</v>
      </c>
      <c r="BF10" s="293" t="s">
        <v>469</v>
      </c>
      <c r="BG10" s="293" t="s">
        <v>469</v>
      </c>
      <c r="BH10" s="293" t="s">
        <v>469</v>
      </c>
      <c r="BI10" s="294" t="s">
        <v>469</v>
      </c>
      <c r="BK10" s="288" t="s">
        <v>469</v>
      </c>
      <c r="BL10" s="292" t="s">
        <v>469</v>
      </c>
      <c r="BM10" s="293" t="s">
        <v>469</v>
      </c>
      <c r="BN10" s="293" t="s">
        <v>469</v>
      </c>
      <c r="BO10" s="293" t="s">
        <v>469</v>
      </c>
      <c r="BP10" s="293" t="s">
        <v>469</v>
      </c>
      <c r="BQ10" s="294" t="s">
        <v>469</v>
      </c>
      <c r="BS10" s="288" t="s">
        <v>469</v>
      </c>
      <c r="BT10" s="292" t="s">
        <v>469</v>
      </c>
      <c r="BU10" s="293" t="s">
        <v>469</v>
      </c>
      <c r="BV10" s="293" t="s">
        <v>469</v>
      </c>
      <c r="BW10" s="293" t="s">
        <v>469</v>
      </c>
      <c r="BX10" s="293" t="s">
        <v>469</v>
      </c>
      <c r="BY10" s="294" t="s">
        <v>469</v>
      </c>
      <c r="CA10" s="288" t="s">
        <v>469</v>
      </c>
      <c r="CB10" s="292" t="s">
        <v>469</v>
      </c>
      <c r="CC10" s="293" t="s">
        <v>469</v>
      </c>
      <c r="CD10" s="293" t="s">
        <v>469</v>
      </c>
      <c r="CE10" s="293" t="s">
        <v>469</v>
      </c>
      <c r="CF10" s="293" t="s">
        <v>469</v>
      </c>
      <c r="CG10" s="294" t="s">
        <v>469</v>
      </c>
      <c r="CI10" s="288" t="s">
        <v>469</v>
      </c>
      <c r="CJ10" s="292" t="s">
        <v>469</v>
      </c>
      <c r="CK10" s="293" t="s">
        <v>469</v>
      </c>
      <c r="CL10" s="293" t="s">
        <v>469</v>
      </c>
      <c r="CM10" s="293" t="s">
        <v>469</v>
      </c>
      <c r="CN10" s="293" t="s">
        <v>469</v>
      </c>
      <c r="CO10" s="294" t="s">
        <v>469</v>
      </c>
      <c r="CQ10" s="295" t="e">
        <v>#REF!</v>
      </c>
      <c r="CR10" s="209" t="e">
        <v>#REF!</v>
      </c>
    </row>
    <row r="11" spans="3:96" ht="11.25">
      <c r="C11" s="241"/>
      <c r="D11" s="279" t="s">
        <v>299</v>
      </c>
      <c r="E11" s="280"/>
      <c r="F11" s="281"/>
      <c r="G11" s="282" t="s">
        <v>300</v>
      </c>
      <c r="H11" s="283"/>
      <c r="M11" s="209" t="e">
        <v>#REF!</v>
      </c>
      <c r="O11" s="284" t="s">
        <v>213</v>
      </c>
      <c r="P11" s="280" t="s">
        <v>301</v>
      </c>
      <c r="Q11" s="244"/>
      <c r="R11" s="245"/>
      <c r="S11" s="285">
        <v>720000</v>
      </c>
      <c r="T11" s="286">
        <v>1.1148272017837235</v>
      </c>
      <c r="U11" s="287">
        <v>802675.5852842809</v>
      </c>
      <c r="V11" s="208" t="s">
        <v>285</v>
      </c>
      <c r="W11" s="248" t="s">
        <v>210</v>
      </c>
      <c r="X11" s="271" t="s">
        <v>469</v>
      </c>
      <c r="Y11" s="271" t="s">
        <v>469</v>
      </c>
      <c r="Z11" s="271" t="s">
        <v>469</v>
      </c>
      <c r="AA11" s="271" t="e">
        <v>#REF!</v>
      </c>
      <c r="AB11" s="271" t="s">
        <v>469</v>
      </c>
      <c r="AC11" s="272" t="s">
        <v>469</v>
      </c>
      <c r="AD11" s="210"/>
      <c r="AE11" s="288" t="s">
        <v>469</v>
      </c>
      <c r="AF11" s="292" t="s">
        <v>469</v>
      </c>
      <c r="AG11" s="293" t="s">
        <v>469</v>
      </c>
      <c r="AH11" s="293" t="s">
        <v>469</v>
      </c>
      <c r="AI11" s="293" t="s">
        <v>469</v>
      </c>
      <c r="AJ11" s="293" t="s">
        <v>469</v>
      </c>
      <c r="AK11" s="294" t="s">
        <v>469</v>
      </c>
      <c r="AM11" s="288">
        <v>802675.5852842809</v>
      </c>
      <c r="AN11" s="292" t="s">
        <v>469</v>
      </c>
      <c r="AO11" s="293" t="s">
        <v>469</v>
      </c>
      <c r="AP11" s="293" t="s">
        <v>469</v>
      </c>
      <c r="AQ11" s="293" t="e">
        <v>#REF!</v>
      </c>
      <c r="AR11" s="293" t="s">
        <v>469</v>
      </c>
      <c r="AS11" s="294" t="s">
        <v>469</v>
      </c>
      <c r="AU11" s="288" t="s">
        <v>469</v>
      </c>
      <c r="AV11" s="292" t="s">
        <v>469</v>
      </c>
      <c r="AW11" s="293" t="s">
        <v>469</v>
      </c>
      <c r="AX11" s="293" t="s">
        <v>469</v>
      </c>
      <c r="AY11" s="293" t="s">
        <v>469</v>
      </c>
      <c r="AZ11" s="293" t="s">
        <v>469</v>
      </c>
      <c r="BA11" s="294" t="s">
        <v>469</v>
      </c>
      <c r="BC11" s="288" t="s">
        <v>469</v>
      </c>
      <c r="BD11" s="292" t="s">
        <v>469</v>
      </c>
      <c r="BE11" s="293" t="s">
        <v>469</v>
      </c>
      <c r="BF11" s="293" t="s">
        <v>469</v>
      </c>
      <c r="BG11" s="293" t="s">
        <v>469</v>
      </c>
      <c r="BH11" s="293" t="s">
        <v>469</v>
      </c>
      <c r="BI11" s="294" t="s">
        <v>469</v>
      </c>
      <c r="BK11" s="288" t="s">
        <v>469</v>
      </c>
      <c r="BL11" s="292" t="s">
        <v>469</v>
      </c>
      <c r="BM11" s="293" t="s">
        <v>469</v>
      </c>
      <c r="BN11" s="293" t="s">
        <v>469</v>
      </c>
      <c r="BO11" s="293" t="s">
        <v>469</v>
      </c>
      <c r="BP11" s="293" t="s">
        <v>469</v>
      </c>
      <c r="BQ11" s="294" t="s">
        <v>469</v>
      </c>
      <c r="BS11" s="288" t="s">
        <v>469</v>
      </c>
      <c r="BT11" s="292" t="s">
        <v>469</v>
      </c>
      <c r="BU11" s="293" t="s">
        <v>469</v>
      </c>
      <c r="BV11" s="293" t="s">
        <v>469</v>
      </c>
      <c r="BW11" s="293" t="s">
        <v>469</v>
      </c>
      <c r="BX11" s="293" t="s">
        <v>469</v>
      </c>
      <c r="BY11" s="294" t="s">
        <v>469</v>
      </c>
      <c r="CA11" s="288" t="s">
        <v>469</v>
      </c>
      <c r="CB11" s="292" t="s">
        <v>469</v>
      </c>
      <c r="CC11" s="293" t="s">
        <v>469</v>
      </c>
      <c r="CD11" s="293" t="s">
        <v>469</v>
      </c>
      <c r="CE11" s="293" t="s">
        <v>469</v>
      </c>
      <c r="CF11" s="293" t="s">
        <v>469</v>
      </c>
      <c r="CG11" s="294" t="s">
        <v>469</v>
      </c>
      <c r="CI11" s="288" t="s">
        <v>469</v>
      </c>
      <c r="CJ11" s="292" t="s">
        <v>469</v>
      </c>
      <c r="CK11" s="293" t="s">
        <v>469</v>
      </c>
      <c r="CL11" s="293" t="s">
        <v>469</v>
      </c>
      <c r="CM11" s="293" t="s">
        <v>469</v>
      </c>
      <c r="CN11" s="293" t="s">
        <v>469</v>
      </c>
      <c r="CO11" s="294" t="s">
        <v>469</v>
      </c>
      <c r="CQ11" s="295" t="e">
        <v>#REF!</v>
      </c>
      <c r="CR11" s="209" t="e">
        <v>#REF!</v>
      </c>
    </row>
    <row r="12" spans="3:96" ht="11.25">
      <c r="C12" s="241"/>
      <c r="D12" s="279" t="s">
        <v>302</v>
      </c>
      <c r="E12" s="280"/>
      <c r="F12" s="281"/>
      <c r="G12" s="282">
        <v>2011</v>
      </c>
      <c r="H12" s="283"/>
      <c r="M12" s="209" t="e">
        <v>#REF!</v>
      </c>
      <c r="O12" s="284" t="s">
        <v>252</v>
      </c>
      <c r="P12" s="280" t="s">
        <v>303</v>
      </c>
      <c r="Q12" s="244"/>
      <c r="R12" s="245"/>
      <c r="S12" s="285">
        <v>0</v>
      </c>
      <c r="T12" s="286">
        <v>1.1148272017837235</v>
      </c>
      <c r="U12" s="287">
        <v>0</v>
      </c>
      <c r="V12" s="208" t="s">
        <v>285</v>
      </c>
      <c r="W12" s="248" t="s">
        <v>279</v>
      </c>
      <c r="X12" s="271" t="e">
        <v>#REF!</v>
      </c>
      <c r="Y12" s="271" t="s">
        <v>469</v>
      </c>
      <c r="Z12" s="271" t="s">
        <v>469</v>
      </c>
      <c r="AA12" s="271" t="s">
        <v>469</v>
      </c>
      <c r="AB12" s="271" t="s">
        <v>469</v>
      </c>
      <c r="AC12" s="272" t="s">
        <v>469</v>
      </c>
      <c r="AD12" s="210"/>
      <c r="AE12" s="288" t="s">
        <v>469</v>
      </c>
      <c r="AF12" s="292" t="s">
        <v>469</v>
      </c>
      <c r="AG12" s="293" t="s">
        <v>469</v>
      </c>
      <c r="AH12" s="293" t="s">
        <v>469</v>
      </c>
      <c r="AI12" s="293" t="s">
        <v>469</v>
      </c>
      <c r="AJ12" s="293" t="s">
        <v>469</v>
      </c>
      <c r="AK12" s="294" t="s">
        <v>469</v>
      </c>
      <c r="AM12" s="288">
        <v>0</v>
      </c>
      <c r="AN12" s="292" t="e">
        <v>#REF!</v>
      </c>
      <c r="AO12" s="293" t="s">
        <v>469</v>
      </c>
      <c r="AP12" s="293" t="s">
        <v>469</v>
      </c>
      <c r="AQ12" s="293" t="s">
        <v>469</v>
      </c>
      <c r="AR12" s="293" t="s">
        <v>469</v>
      </c>
      <c r="AS12" s="294" t="s">
        <v>469</v>
      </c>
      <c r="AU12" s="288" t="s">
        <v>469</v>
      </c>
      <c r="AV12" s="292" t="s">
        <v>469</v>
      </c>
      <c r="AW12" s="293" t="s">
        <v>469</v>
      </c>
      <c r="AX12" s="293" t="s">
        <v>469</v>
      </c>
      <c r="AY12" s="293" t="s">
        <v>469</v>
      </c>
      <c r="AZ12" s="293" t="s">
        <v>469</v>
      </c>
      <c r="BA12" s="294" t="s">
        <v>469</v>
      </c>
      <c r="BC12" s="288" t="s">
        <v>469</v>
      </c>
      <c r="BD12" s="292" t="s">
        <v>469</v>
      </c>
      <c r="BE12" s="293" t="s">
        <v>469</v>
      </c>
      <c r="BF12" s="293" t="s">
        <v>469</v>
      </c>
      <c r="BG12" s="293" t="s">
        <v>469</v>
      </c>
      <c r="BH12" s="293" t="s">
        <v>469</v>
      </c>
      <c r="BI12" s="294" t="s">
        <v>469</v>
      </c>
      <c r="BK12" s="288" t="s">
        <v>469</v>
      </c>
      <c r="BL12" s="292" t="s">
        <v>469</v>
      </c>
      <c r="BM12" s="293" t="s">
        <v>469</v>
      </c>
      <c r="BN12" s="293" t="s">
        <v>469</v>
      </c>
      <c r="BO12" s="293" t="s">
        <v>469</v>
      </c>
      <c r="BP12" s="293" t="s">
        <v>469</v>
      </c>
      <c r="BQ12" s="294" t="s">
        <v>469</v>
      </c>
      <c r="BS12" s="288" t="s">
        <v>469</v>
      </c>
      <c r="BT12" s="292" t="s">
        <v>469</v>
      </c>
      <c r="BU12" s="293" t="s">
        <v>469</v>
      </c>
      <c r="BV12" s="293" t="s">
        <v>469</v>
      </c>
      <c r="BW12" s="293" t="s">
        <v>469</v>
      </c>
      <c r="BX12" s="293" t="s">
        <v>469</v>
      </c>
      <c r="BY12" s="294" t="s">
        <v>469</v>
      </c>
      <c r="CA12" s="288" t="s">
        <v>469</v>
      </c>
      <c r="CB12" s="292" t="s">
        <v>469</v>
      </c>
      <c r="CC12" s="293" t="s">
        <v>469</v>
      </c>
      <c r="CD12" s="293" t="s">
        <v>469</v>
      </c>
      <c r="CE12" s="293" t="s">
        <v>469</v>
      </c>
      <c r="CF12" s="293" t="s">
        <v>469</v>
      </c>
      <c r="CG12" s="294" t="s">
        <v>469</v>
      </c>
      <c r="CI12" s="288" t="s">
        <v>469</v>
      </c>
      <c r="CJ12" s="292" t="s">
        <v>469</v>
      </c>
      <c r="CK12" s="293" t="s">
        <v>469</v>
      </c>
      <c r="CL12" s="293" t="s">
        <v>469</v>
      </c>
      <c r="CM12" s="293" t="s">
        <v>469</v>
      </c>
      <c r="CN12" s="293" t="s">
        <v>469</v>
      </c>
      <c r="CO12" s="294" t="s">
        <v>469</v>
      </c>
      <c r="CQ12" s="295" t="e">
        <v>#REF!</v>
      </c>
      <c r="CR12" s="209" t="e">
        <v>#REF!</v>
      </c>
    </row>
    <row r="13" spans="3:96" ht="11.25">
      <c r="C13" s="241"/>
      <c r="D13" s="279" t="s">
        <v>304</v>
      </c>
      <c r="E13" s="280"/>
      <c r="F13" s="281"/>
      <c r="G13" s="282" t="s">
        <v>305</v>
      </c>
      <c r="H13" s="283"/>
      <c r="M13" s="209" t="e">
        <v>#REF!</v>
      </c>
      <c r="O13" s="284" t="s">
        <v>214</v>
      </c>
      <c r="P13" s="241" t="s">
        <v>306</v>
      </c>
      <c r="Q13" s="244"/>
      <c r="R13" s="245"/>
      <c r="S13" s="285">
        <v>0</v>
      </c>
      <c r="T13" s="286">
        <v>1.1148272017837235</v>
      </c>
      <c r="U13" s="287">
        <v>0</v>
      </c>
      <c r="V13" s="208" t="s">
        <v>285</v>
      </c>
      <c r="W13" s="248" t="s">
        <v>279</v>
      </c>
      <c r="X13" s="271" t="e">
        <v>#REF!</v>
      </c>
      <c r="Y13" s="271" t="s">
        <v>469</v>
      </c>
      <c r="Z13" s="271" t="s">
        <v>469</v>
      </c>
      <c r="AA13" s="271" t="s">
        <v>469</v>
      </c>
      <c r="AB13" s="271" t="s">
        <v>469</v>
      </c>
      <c r="AC13" s="272" t="s">
        <v>469</v>
      </c>
      <c r="AE13" s="288" t="s">
        <v>469</v>
      </c>
      <c r="AF13" s="292" t="s">
        <v>469</v>
      </c>
      <c r="AG13" s="293" t="s">
        <v>469</v>
      </c>
      <c r="AH13" s="293" t="s">
        <v>469</v>
      </c>
      <c r="AI13" s="293" t="s">
        <v>469</v>
      </c>
      <c r="AJ13" s="293" t="s">
        <v>469</v>
      </c>
      <c r="AK13" s="294" t="s">
        <v>469</v>
      </c>
      <c r="AM13" s="288">
        <v>0</v>
      </c>
      <c r="AN13" s="292" t="e">
        <v>#REF!</v>
      </c>
      <c r="AO13" s="293" t="s">
        <v>469</v>
      </c>
      <c r="AP13" s="293" t="s">
        <v>469</v>
      </c>
      <c r="AQ13" s="293" t="s">
        <v>469</v>
      </c>
      <c r="AR13" s="293" t="s">
        <v>469</v>
      </c>
      <c r="AS13" s="294" t="s">
        <v>469</v>
      </c>
      <c r="AU13" s="288" t="s">
        <v>469</v>
      </c>
      <c r="AV13" s="292" t="s">
        <v>469</v>
      </c>
      <c r="AW13" s="293" t="s">
        <v>469</v>
      </c>
      <c r="AX13" s="293" t="s">
        <v>469</v>
      </c>
      <c r="AY13" s="293" t="s">
        <v>469</v>
      </c>
      <c r="AZ13" s="293" t="s">
        <v>469</v>
      </c>
      <c r="BA13" s="294" t="s">
        <v>469</v>
      </c>
      <c r="BC13" s="288" t="s">
        <v>469</v>
      </c>
      <c r="BD13" s="292" t="s">
        <v>469</v>
      </c>
      <c r="BE13" s="293" t="s">
        <v>469</v>
      </c>
      <c r="BF13" s="293" t="s">
        <v>469</v>
      </c>
      <c r="BG13" s="293" t="s">
        <v>469</v>
      </c>
      <c r="BH13" s="293" t="s">
        <v>469</v>
      </c>
      <c r="BI13" s="294" t="s">
        <v>469</v>
      </c>
      <c r="BK13" s="288" t="s">
        <v>469</v>
      </c>
      <c r="BL13" s="292" t="s">
        <v>469</v>
      </c>
      <c r="BM13" s="293" t="s">
        <v>469</v>
      </c>
      <c r="BN13" s="293" t="s">
        <v>469</v>
      </c>
      <c r="BO13" s="293" t="s">
        <v>469</v>
      </c>
      <c r="BP13" s="293" t="s">
        <v>469</v>
      </c>
      <c r="BQ13" s="294" t="s">
        <v>469</v>
      </c>
      <c r="BS13" s="288" t="s">
        <v>469</v>
      </c>
      <c r="BT13" s="292" t="s">
        <v>469</v>
      </c>
      <c r="BU13" s="293" t="s">
        <v>469</v>
      </c>
      <c r="BV13" s="293" t="s">
        <v>469</v>
      </c>
      <c r="BW13" s="293" t="s">
        <v>469</v>
      </c>
      <c r="BX13" s="293" t="s">
        <v>469</v>
      </c>
      <c r="BY13" s="294" t="s">
        <v>469</v>
      </c>
      <c r="CA13" s="288" t="s">
        <v>469</v>
      </c>
      <c r="CB13" s="292" t="s">
        <v>469</v>
      </c>
      <c r="CC13" s="293" t="s">
        <v>469</v>
      </c>
      <c r="CD13" s="293" t="s">
        <v>469</v>
      </c>
      <c r="CE13" s="293" t="s">
        <v>469</v>
      </c>
      <c r="CF13" s="293" t="s">
        <v>469</v>
      </c>
      <c r="CG13" s="294" t="s">
        <v>469</v>
      </c>
      <c r="CI13" s="288" t="s">
        <v>469</v>
      </c>
      <c r="CJ13" s="292" t="s">
        <v>469</v>
      </c>
      <c r="CK13" s="293" t="s">
        <v>469</v>
      </c>
      <c r="CL13" s="293" t="s">
        <v>469</v>
      </c>
      <c r="CM13" s="293" t="s">
        <v>469</v>
      </c>
      <c r="CN13" s="293" t="s">
        <v>469</v>
      </c>
      <c r="CO13" s="294" t="s">
        <v>469</v>
      </c>
      <c r="CQ13" s="295" t="e">
        <v>#REF!</v>
      </c>
      <c r="CR13" s="209" t="e">
        <v>#REF!</v>
      </c>
    </row>
    <row r="14" spans="3:96" ht="11.25">
      <c r="C14" s="241"/>
      <c r="D14" s="279" t="s">
        <v>307</v>
      </c>
      <c r="E14" s="280"/>
      <c r="F14" s="281"/>
      <c r="G14" s="296">
        <v>0</v>
      </c>
      <c r="H14" s="283" t="s">
        <v>308</v>
      </c>
      <c r="M14" s="209"/>
      <c r="O14" s="284" t="s">
        <v>253</v>
      </c>
      <c r="P14" s="241"/>
      <c r="Q14" s="244"/>
      <c r="R14" s="245"/>
      <c r="S14" s="243"/>
      <c r="T14" s="286">
        <v>1.1148272017837235</v>
      </c>
      <c r="U14" s="287">
        <v>0</v>
      </c>
      <c r="W14" s="248"/>
      <c r="X14" s="271" t="s">
        <v>469</v>
      </c>
      <c r="Y14" s="271" t="s">
        <v>469</v>
      </c>
      <c r="Z14" s="271" t="s">
        <v>469</v>
      </c>
      <c r="AA14" s="271" t="s">
        <v>469</v>
      </c>
      <c r="AB14" s="271" t="s">
        <v>469</v>
      </c>
      <c r="AC14" s="272" t="s">
        <v>469</v>
      </c>
      <c r="AE14" s="288" t="s">
        <v>469</v>
      </c>
      <c r="AF14" s="292" t="s">
        <v>469</v>
      </c>
      <c r="AG14" s="293" t="s">
        <v>469</v>
      </c>
      <c r="AH14" s="293" t="s">
        <v>469</v>
      </c>
      <c r="AI14" s="293" t="s">
        <v>469</v>
      </c>
      <c r="AJ14" s="293" t="s">
        <v>469</v>
      </c>
      <c r="AK14" s="294" t="s">
        <v>469</v>
      </c>
      <c r="AM14" s="288" t="s">
        <v>469</v>
      </c>
      <c r="AN14" s="292" t="s">
        <v>469</v>
      </c>
      <c r="AO14" s="293" t="s">
        <v>469</v>
      </c>
      <c r="AP14" s="293" t="s">
        <v>469</v>
      </c>
      <c r="AQ14" s="293" t="s">
        <v>469</v>
      </c>
      <c r="AR14" s="293" t="s">
        <v>469</v>
      </c>
      <c r="AS14" s="294" t="s">
        <v>469</v>
      </c>
      <c r="AU14" s="288" t="s">
        <v>469</v>
      </c>
      <c r="AV14" s="292" t="s">
        <v>469</v>
      </c>
      <c r="AW14" s="293" t="s">
        <v>469</v>
      </c>
      <c r="AX14" s="293" t="s">
        <v>469</v>
      </c>
      <c r="AY14" s="293" t="s">
        <v>469</v>
      </c>
      <c r="AZ14" s="293" t="s">
        <v>469</v>
      </c>
      <c r="BA14" s="294" t="s">
        <v>469</v>
      </c>
      <c r="BC14" s="288" t="s">
        <v>469</v>
      </c>
      <c r="BD14" s="292" t="s">
        <v>469</v>
      </c>
      <c r="BE14" s="293" t="s">
        <v>469</v>
      </c>
      <c r="BF14" s="293" t="s">
        <v>469</v>
      </c>
      <c r="BG14" s="293" t="s">
        <v>469</v>
      </c>
      <c r="BH14" s="293" t="s">
        <v>469</v>
      </c>
      <c r="BI14" s="294" t="s">
        <v>469</v>
      </c>
      <c r="BK14" s="288" t="s">
        <v>469</v>
      </c>
      <c r="BL14" s="292" t="s">
        <v>469</v>
      </c>
      <c r="BM14" s="293" t="s">
        <v>469</v>
      </c>
      <c r="BN14" s="293" t="s">
        <v>469</v>
      </c>
      <c r="BO14" s="293" t="s">
        <v>469</v>
      </c>
      <c r="BP14" s="293" t="s">
        <v>469</v>
      </c>
      <c r="BQ14" s="294" t="s">
        <v>469</v>
      </c>
      <c r="BS14" s="288" t="s">
        <v>469</v>
      </c>
      <c r="BT14" s="292" t="s">
        <v>469</v>
      </c>
      <c r="BU14" s="293" t="s">
        <v>469</v>
      </c>
      <c r="BV14" s="293" t="s">
        <v>469</v>
      </c>
      <c r="BW14" s="293" t="s">
        <v>469</v>
      </c>
      <c r="BX14" s="293" t="s">
        <v>469</v>
      </c>
      <c r="BY14" s="294" t="s">
        <v>469</v>
      </c>
      <c r="CA14" s="288" t="s">
        <v>469</v>
      </c>
      <c r="CB14" s="292" t="s">
        <v>469</v>
      </c>
      <c r="CC14" s="293" t="s">
        <v>469</v>
      </c>
      <c r="CD14" s="293" t="s">
        <v>469</v>
      </c>
      <c r="CE14" s="293" t="s">
        <v>469</v>
      </c>
      <c r="CF14" s="293" t="s">
        <v>469</v>
      </c>
      <c r="CG14" s="294" t="s">
        <v>469</v>
      </c>
      <c r="CI14" s="288" t="s">
        <v>469</v>
      </c>
      <c r="CJ14" s="292" t="s">
        <v>469</v>
      </c>
      <c r="CK14" s="293" t="s">
        <v>469</v>
      </c>
      <c r="CL14" s="293" t="s">
        <v>469</v>
      </c>
      <c r="CM14" s="293" t="s">
        <v>469</v>
      </c>
      <c r="CN14" s="293" t="s">
        <v>469</v>
      </c>
      <c r="CO14" s="294" t="s">
        <v>469</v>
      </c>
      <c r="CQ14" s="295"/>
      <c r="CR14" s="209" t="s">
        <v>469</v>
      </c>
    </row>
    <row r="15" spans="3:96" ht="11.25">
      <c r="C15" s="241"/>
      <c r="D15" s="279" t="s">
        <v>309</v>
      </c>
      <c r="E15" s="280"/>
      <c r="F15" s="281"/>
      <c r="G15" s="296">
        <v>111</v>
      </c>
      <c r="H15" s="283"/>
      <c r="M15" s="209"/>
      <c r="O15" s="284" t="s">
        <v>310</v>
      </c>
      <c r="P15" s="280"/>
      <c r="Q15" s="244"/>
      <c r="R15" s="245"/>
      <c r="S15" s="243"/>
      <c r="T15" s="286">
        <v>1.1148272017837235</v>
      </c>
      <c r="U15" s="287">
        <v>0</v>
      </c>
      <c r="W15" s="248"/>
      <c r="X15" s="271" t="s">
        <v>469</v>
      </c>
      <c r="Y15" s="271" t="s">
        <v>469</v>
      </c>
      <c r="Z15" s="271" t="s">
        <v>469</v>
      </c>
      <c r="AA15" s="271" t="s">
        <v>469</v>
      </c>
      <c r="AB15" s="271" t="s">
        <v>469</v>
      </c>
      <c r="AC15" s="272" t="s">
        <v>469</v>
      </c>
      <c r="AE15" s="288" t="s">
        <v>469</v>
      </c>
      <c r="AF15" s="292" t="s">
        <v>469</v>
      </c>
      <c r="AG15" s="293" t="s">
        <v>469</v>
      </c>
      <c r="AH15" s="293" t="s">
        <v>469</v>
      </c>
      <c r="AI15" s="293" t="s">
        <v>469</v>
      </c>
      <c r="AJ15" s="293" t="s">
        <v>469</v>
      </c>
      <c r="AK15" s="294" t="s">
        <v>469</v>
      </c>
      <c r="AM15" s="288" t="s">
        <v>469</v>
      </c>
      <c r="AN15" s="292" t="s">
        <v>469</v>
      </c>
      <c r="AO15" s="293" t="s">
        <v>469</v>
      </c>
      <c r="AP15" s="293" t="s">
        <v>469</v>
      </c>
      <c r="AQ15" s="293" t="s">
        <v>469</v>
      </c>
      <c r="AR15" s="293" t="s">
        <v>469</v>
      </c>
      <c r="AS15" s="294" t="s">
        <v>469</v>
      </c>
      <c r="AU15" s="288" t="s">
        <v>469</v>
      </c>
      <c r="AV15" s="292" t="s">
        <v>469</v>
      </c>
      <c r="AW15" s="293" t="s">
        <v>469</v>
      </c>
      <c r="AX15" s="293" t="s">
        <v>469</v>
      </c>
      <c r="AY15" s="293" t="s">
        <v>469</v>
      </c>
      <c r="AZ15" s="293" t="s">
        <v>469</v>
      </c>
      <c r="BA15" s="294" t="s">
        <v>469</v>
      </c>
      <c r="BC15" s="288" t="s">
        <v>469</v>
      </c>
      <c r="BD15" s="292" t="s">
        <v>469</v>
      </c>
      <c r="BE15" s="293" t="s">
        <v>469</v>
      </c>
      <c r="BF15" s="293" t="s">
        <v>469</v>
      </c>
      <c r="BG15" s="293" t="s">
        <v>469</v>
      </c>
      <c r="BH15" s="293" t="s">
        <v>469</v>
      </c>
      <c r="BI15" s="294" t="s">
        <v>469</v>
      </c>
      <c r="BK15" s="288" t="s">
        <v>469</v>
      </c>
      <c r="BL15" s="292" t="s">
        <v>469</v>
      </c>
      <c r="BM15" s="293" t="s">
        <v>469</v>
      </c>
      <c r="BN15" s="293" t="s">
        <v>469</v>
      </c>
      <c r="BO15" s="293" t="s">
        <v>469</v>
      </c>
      <c r="BP15" s="293" t="s">
        <v>469</v>
      </c>
      <c r="BQ15" s="294" t="s">
        <v>469</v>
      </c>
      <c r="BS15" s="288" t="s">
        <v>469</v>
      </c>
      <c r="BT15" s="292" t="s">
        <v>469</v>
      </c>
      <c r="BU15" s="293" t="s">
        <v>469</v>
      </c>
      <c r="BV15" s="293" t="s">
        <v>469</v>
      </c>
      <c r="BW15" s="293" t="s">
        <v>469</v>
      </c>
      <c r="BX15" s="293" t="s">
        <v>469</v>
      </c>
      <c r="BY15" s="294" t="s">
        <v>469</v>
      </c>
      <c r="CA15" s="288" t="s">
        <v>469</v>
      </c>
      <c r="CB15" s="292" t="s">
        <v>469</v>
      </c>
      <c r="CC15" s="293" t="s">
        <v>469</v>
      </c>
      <c r="CD15" s="293" t="s">
        <v>469</v>
      </c>
      <c r="CE15" s="293" t="s">
        <v>469</v>
      </c>
      <c r="CF15" s="293" t="s">
        <v>469</v>
      </c>
      <c r="CG15" s="294" t="s">
        <v>469</v>
      </c>
      <c r="CI15" s="288" t="s">
        <v>469</v>
      </c>
      <c r="CJ15" s="292" t="s">
        <v>469</v>
      </c>
      <c r="CK15" s="293" t="s">
        <v>469</v>
      </c>
      <c r="CL15" s="293" t="s">
        <v>469</v>
      </c>
      <c r="CM15" s="293" t="s">
        <v>469</v>
      </c>
      <c r="CN15" s="293" t="s">
        <v>469</v>
      </c>
      <c r="CO15" s="294" t="s">
        <v>469</v>
      </c>
      <c r="CQ15" s="295"/>
      <c r="CR15" s="209" t="s">
        <v>469</v>
      </c>
    </row>
    <row r="16" spans="3:96" ht="11.25">
      <c r="C16" s="241"/>
      <c r="D16" s="279" t="s">
        <v>311</v>
      </c>
      <c r="E16" s="280"/>
      <c r="F16" s="281"/>
      <c r="G16" s="297">
        <v>0</v>
      </c>
      <c r="H16" s="283" t="s">
        <v>312</v>
      </c>
      <c r="M16" s="209"/>
      <c r="O16" s="298"/>
      <c r="P16" s="244"/>
      <c r="Q16" s="244"/>
      <c r="R16" s="245"/>
      <c r="S16" s="243"/>
      <c r="T16" s="246"/>
      <c r="U16" s="247"/>
      <c r="W16" s="248"/>
      <c r="X16" s="271" t="s">
        <v>469</v>
      </c>
      <c r="Y16" s="271" t="s">
        <v>469</v>
      </c>
      <c r="Z16" s="271" t="s">
        <v>469</v>
      </c>
      <c r="AA16" s="271" t="s">
        <v>469</v>
      </c>
      <c r="AB16" s="271" t="s">
        <v>469</v>
      </c>
      <c r="AC16" s="272" t="s">
        <v>469</v>
      </c>
      <c r="AE16" s="288" t="s">
        <v>469</v>
      </c>
      <c r="AF16" s="292" t="s">
        <v>469</v>
      </c>
      <c r="AG16" s="293" t="s">
        <v>469</v>
      </c>
      <c r="AH16" s="293" t="s">
        <v>469</v>
      </c>
      <c r="AI16" s="293" t="s">
        <v>469</v>
      </c>
      <c r="AJ16" s="293" t="s">
        <v>469</v>
      </c>
      <c r="AK16" s="294" t="s">
        <v>469</v>
      </c>
      <c r="AM16" s="288" t="s">
        <v>469</v>
      </c>
      <c r="AN16" s="292" t="s">
        <v>469</v>
      </c>
      <c r="AO16" s="293" t="s">
        <v>469</v>
      </c>
      <c r="AP16" s="293" t="s">
        <v>469</v>
      </c>
      <c r="AQ16" s="293" t="s">
        <v>469</v>
      </c>
      <c r="AR16" s="293" t="s">
        <v>469</v>
      </c>
      <c r="AS16" s="294" t="s">
        <v>469</v>
      </c>
      <c r="AU16" s="288" t="s">
        <v>469</v>
      </c>
      <c r="AV16" s="292" t="s">
        <v>469</v>
      </c>
      <c r="AW16" s="293" t="s">
        <v>469</v>
      </c>
      <c r="AX16" s="293" t="s">
        <v>469</v>
      </c>
      <c r="AY16" s="293" t="s">
        <v>469</v>
      </c>
      <c r="AZ16" s="293" t="s">
        <v>469</v>
      </c>
      <c r="BA16" s="294" t="s">
        <v>469</v>
      </c>
      <c r="BC16" s="288" t="s">
        <v>469</v>
      </c>
      <c r="BD16" s="292" t="s">
        <v>469</v>
      </c>
      <c r="BE16" s="293" t="s">
        <v>469</v>
      </c>
      <c r="BF16" s="293" t="s">
        <v>469</v>
      </c>
      <c r="BG16" s="293" t="s">
        <v>469</v>
      </c>
      <c r="BH16" s="293" t="s">
        <v>469</v>
      </c>
      <c r="BI16" s="294" t="s">
        <v>469</v>
      </c>
      <c r="BK16" s="288" t="s">
        <v>469</v>
      </c>
      <c r="BL16" s="292" t="s">
        <v>469</v>
      </c>
      <c r="BM16" s="293" t="s">
        <v>469</v>
      </c>
      <c r="BN16" s="293" t="s">
        <v>469</v>
      </c>
      <c r="BO16" s="293" t="s">
        <v>469</v>
      </c>
      <c r="BP16" s="293" t="s">
        <v>469</v>
      </c>
      <c r="BQ16" s="294" t="s">
        <v>469</v>
      </c>
      <c r="BS16" s="288" t="s">
        <v>469</v>
      </c>
      <c r="BT16" s="292" t="s">
        <v>469</v>
      </c>
      <c r="BU16" s="293" t="s">
        <v>469</v>
      </c>
      <c r="BV16" s="293" t="s">
        <v>469</v>
      </c>
      <c r="BW16" s="293" t="s">
        <v>469</v>
      </c>
      <c r="BX16" s="293" t="s">
        <v>469</v>
      </c>
      <c r="BY16" s="294" t="s">
        <v>469</v>
      </c>
      <c r="CA16" s="288" t="s">
        <v>469</v>
      </c>
      <c r="CB16" s="292" t="s">
        <v>469</v>
      </c>
      <c r="CC16" s="293" t="s">
        <v>469</v>
      </c>
      <c r="CD16" s="293" t="s">
        <v>469</v>
      </c>
      <c r="CE16" s="293" t="s">
        <v>469</v>
      </c>
      <c r="CF16" s="293" t="s">
        <v>469</v>
      </c>
      <c r="CG16" s="294" t="s">
        <v>469</v>
      </c>
      <c r="CI16" s="288" t="s">
        <v>469</v>
      </c>
      <c r="CJ16" s="292" t="s">
        <v>469</v>
      </c>
      <c r="CK16" s="293" t="s">
        <v>469</v>
      </c>
      <c r="CL16" s="293" t="s">
        <v>469</v>
      </c>
      <c r="CM16" s="293" t="s">
        <v>469</v>
      </c>
      <c r="CN16" s="293" t="s">
        <v>469</v>
      </c>
      <c r="CO16" s="294" t="s">
        <v>469</v>
      </c>
      <c r="CQ16" s="295"/>
      <c r="CR16" s="209" t="s">
        <v>469</v>
      </c>
    </row>
    <row r="17" spans="4:99" ht="11.25">
      <c r="D17" s="279" t="s">
        <v>313</v>
      </c>
      <c r="E17" s="280"/>
      <c r="F17" s="281"/>
      <c r="G17" s="299">
        <v>120000</v>
      </c>
      <c r="H17" s="283" t="s">
        <v>314</v>
      </c>
      <c r="M17" s="263" t="e">
        <v>#VALUE!</v>
      </c>
      <c r="N17" s="207" t="s">
        <v>468</v>
      </c>
      <c r="O17" s="264">
        <v>1000</v>
      </c>
      <c r="P17" s="265" t="s">
        <v>315</v>
      </c>
      <c r="Q17" s="300"/>
      <c r="R17" s="267"/>
      <c r="S17" s="268">
        <v>0</v>
      </c>
      <c r="T17" s="268"/>
      <c r="U17" s="269" t="e">
        <v>#VALUE!</v>
      </c>
      <c r="W17" s="248"/>
      <c r="X17" s="271" t="s">
        <v>469</v>
      </c>
      <c r="Y17" s="271" t="s">
        <v>469</v>
      </c>
      <c r="Z17" s="271" t="s">
        <v>469</v>
      </c>
      <c r="AA17" s="271" t="s">
        <v>469</v>
      </c>
      <c r="AB17" s="271" t="s">
        <v>469</v>
      </c>
      <c r="AC17" s="272" t="s">
        <v>469</v>
      </c>
      <c r="AE17" s="288" t="s">
        <v>469</v>
      </c>
      <c r="AF17" s="292" t="s">
        <v>469</v>
      </c>
      <c r="AG17" s="293" t="s">
        <v>469</v>
      </c>
      <c r="AH17" s="293" t="s">
        <v>469</v>
      </c>
      <c r="AI17" s="293" t="s">
        <v>469</v>
      </c>
      <c r="AJ17" s="293" t="s">
        <v>469</v>
      </c>
      <c r="AK17" s="294" t="s">
        <v>469</v>
      </c>
      <c r="AM17" s="288" t="s">
        <v>469</v>
      </c>
      <c r="AN17" s="292" t="s">
        <v>469</v>
      </c>
      <c r="AO17" s="293" t="s">
        <v>469</v>
      </c>
      <c r="AP17" s="293" t="s">
        <v>469</v>
      </c>
      <c r="AQ17" s="293" t="s">
        <v>469</v>
      </c>
      <c r="AR17" s="293" t="s">
        <v>469</v>
      </c>
      <c r="AS17" s="294" t="s">
        <v>469</v>
      </c>
      <c r="AU17" s="288" t="s">
        <v>469</v>
      </c>
      <c r="AV17" s="292" t="s">
        <v>469</v>
      </c>
      <c r="AW17" s="293" t="s">
        <v>469</v>
      </c>
      <c r="AX17" s="293" t="s">
        <v>469</v>
      </c>
      <c r="AY17" s="293" t="s">
        <v>469</v>
      </c>
      <c r="AZ17" s="293" t="s">
        <v>469</v>
      </c>
      <c r="BA17" s="294" t="s">
        <v>469</v>
      </c>
      <c r="BC17" s="288" t="s">
        <v>469</v>
      </c>
      <c r="BD17" s="292" t="s">
        <v>469</v>
      </c>
      <c r="BE17" s="293" t="s">
        <v>469</v>
      </c>
      <c r="BF17" s="293" t="s">
        <v>469</v>
      </c>
      <c r="BG17" s="293" t="s">
        <v>469</v>
      </c>
      <c r="BH17" s="293" t="s">
        <v>469</v>
      </c>
      <c r="BI17" s="294" t="s">
        <v>469</v>
      </c>
      <c r="BK17" s="288" t="s">
        <v>469</v>
      </c>
      <c r="BL17" s="292" t="s">
        <v>469</v>
      </c>
      <c r="BM17" s="293" t="s">
        <v>469</v>
      </c>
      <c r="BN17" s="293" t="s">
        <v>469</v>
      </c>
      <c r="BO17" s="293" t="s">
        <v>469</v>
      </c>
      <c r="BP17" s="293" t="s">
        <v>469</v>
      </c>
      <c r="BQ17" s="294" t="s">
        <v>469</v>
      </c>
      <c r="BS17" s="288" t="s">
        <v>469</v>
      </c>
      <c r="BT17" s="292" t="s">
        <v>469</v>
      </c>
      <c r="BU17" s="293" t="s">
        <v>469</v>
      </c>
      <c r="BV17" s="293" t="s">
        <v>469</v>
      </c>
      <c r="BW17" s="293" t="s">
        <v>469</v>
      </c>
      <c r="BX17" s="293" t="s">
        <v>469</v>
      </c>
      <c r="BY17" s="294" t="s">
        <v>469</v>
      </c>
      <c r="CA17" s="288" t="s">
        <v>469</v>
      </c>
      <c r="CB17" s="292" t="s">
        <v>469</v>
      </c>
      <c r="CC17" s="293" t="s">
        <v>469</v>
      </c>
      <c r="CD17" s="293" t="s">
        <v>469</v>
      </c>
      <c r="CE17" s="293" t="s">
        <v>469</v>
      </c>
      <c r="CF17" s="293" t="s">
        <v>469</v>
      </c>
      <c r="CG17" s="294" t="s">
        <v>469</v>
      </c>
      <c r="CI17" s="288" t="s">
        <v>469</v>
      </c>
      <c r="CJ17" s="292" t="s">
        <v>469</v>
      </c>
      <c r="CK17" s="293" t="s">
        <v>469</v>
      </c>
      <c r="CL17" s="293" t="s">
        <v>469</v>
      </c>
      <c r="CM17" s="293" t="s">
        <v>469</v>
      </c>
      <c r="CN17" s="293" t="s">
        <v>469</v>
      </c>
      <c r="CO17" s="294" t="s">
        <v>469</v>
      </c>
      <c r="CQ17" s="277"/>
      <c r="CR17" s="209" t="s">
        <v>469</v>
      </c>
      <c r="CT17" s="207" t="s">
        <v>468</v>
      </c>
      <c r="CU17" s="278">
        <v>0</v>
      </c>
    </row>
    <row r="18" spans="4:96" ht="11.25">
      <c r="D18" s="279" t="s">
        <v>316</v>
      </c>
      <c r="E18" s="280"/>
      <c r="F18" s="281"/>
      <c r="G18" s="299">
        <v>0</v>
      </c>
      <c r="H18" s="283" t="s">
        <v>317</v>
      </c>
      <c r="M18" s="209" t="e">
        <v>#REF!</v>
      </c>
      <c r="O18" s="301">
        <v>1000</v>
      </c>
      <c r="P18" s="302" t="s">
        <v>318</v>
      </c>
      <c r="Q18" s="244"/>
      <c r="R18" s="245"/>
      <c r="S18" s="243"/>
      <c r="T18" s="286">
        <v>1.1148272017837235</v>
      </c>
      <c r="U18" s="287">
        <v>0</v>
      </c>
      <c r="W18" s="248"/>
      <c r="X18" s="271" t="s">
        <v>469</v>
      </c>
      <c r="Y18" s="271" t="s">
        <v>469</v>
      </c>
      <c r="Z18" s="271" t="s">
        <v>469</v>
      </c>
      <c r="AA18" s="271" t="s">
        <v>469</v>
      </c>
      <c r="AB18" s="271" t="s">
        <v>469</v>
      </c>
      <c r="AC18" s="272" t="s">
        <v>469</v>
      </c>
      <c r="AE18" s="288" t="s">
        <v>469</v>
      </c>
      <c r="AF18" s="292" t="s">
        <v>469</v>
      </c>
      <c r="AG18" s="293" t="s">
        <v>469</v>
      </c>
      <c r="AH18" s="293" t="s">
        <v>469</v>
      </c>
      <c r="AI18" s="293" t="s">
        <v>469</v>
      </c>
      <c r="AJ18" s="293" t="s">
        <v>469</v>
      </c>
      <c r="AK18" s="294" t="s">
        <v>469</v>
      </c>
      <c r="AM18" s="288" t="s">
        <v>469</v>
      </c>
      <c r="AN18" s="292" t="s">
        <v>469</v>
      </c>
      <c r="AO18" s="293" t="s">
        <v>469</v>
      </c>
      <c r="AP18" s="293" t="s">
        <v>469</v>
      </c>
      <c r="AQ18" s="293" t="s">
        <v>469</v>
      </c>
      <c r="AR18" s="293" t="s">
        <v>469</v>
      </c>
      <c r="AS18" s="294" t="s">
        <v>469</v>
      </c>
      <c r="AU18" s="288" t="s">
        <v>469</v>
      </c>
      <c r="AV18" s="292" t="s">
        <v>469</v>
      </c>
      <c r="AW18" s="293" t="s">
        <v>469</v>
      </c>
      <c r="AX18" s="293" t="s">
        <v>469</v>
      </c>
      <c r="AY18" s="293" t="s">
        <v>469</v>
      </c>
      <c r="AZ18" s="293" t="s">
        <v>469</v>
      </c>
      <c r="BA18" s="294" t="s">
        <v>469</v>
      </c>
      <c r="BC18" s="288" t="s">
        <v>469</v>
      </c>
      <c r="BD18" s="292" t="s">
        <v>469</v>
      </c>
      <c r="BE18" s="293" t="s">
        <v>469</v>
      </c>
      <c r="BF18" s="293" t="s">
        <v>469</v>
      </c>
      <c r="BG18" s="293" t="s">
        <v>469</v>
      </c>
      <c r="BH18" s="293" t="s">
        <v>469</v>
      </c>
      <c r="BI18" s="294" t="s">
        <v>469</v>
      </c>
      <c r="BK18" s="288" t="s">
        <v>469</v>
      </c>
      <c r="BL18" s="292" t="s">
        <v>469</v>
      </c>
      <c r="BM18" s="293" t="s">
        <v>469</v>
      </c>
      <c r="BN18" s="293" t="s">
        <v>469</v>
      </c>
      <c r="BO18" s="293" t="s">
        <v>469</v>
      </c>
      <c r="BP18" s="293" t="s">
        <v>469</v>
      </c>
      <c r="BQ18" s="294" t="s">
        <v>469</v>
      </c>
      <c r="BS18" s="288" t="s">
        <v>469</v>
      </c>
      <c r="BT18" s="292" t="s">
        <v>469</v>
      </c>
      <c r="BU18" s="293" t="s">
        <v>469</v>
      </c>
      <c r="BV18" s="293" t="s">
        <v>469</v>
      </c>
      <c r="BW18" s="293" t="s">
        <v>469</v>
      </c>
      <c r="BX18" s="293" t="s">
        <v>469</v>
      </c>
      <c r="BY18" s="294" t="s">
        <v>469</v>
      </c>
      <c r="CA18" s="288" t="s">
        <v>469</v>
      </c>
      <c r="CB18" s="292" t="s">
        <v>469</v>
      </c>
      <c r="CC18" s="293" t="s">
        <v>469</v>
      </c>
      <c r="CD18" s="293" t="s">
        <v>469</v>
      </c>
      <c r="CE18" s="293" t="s">
        <v>469</v>
      </c>
      <c r="CF18" s="293" t="s">
        <v>469</v>
      </c>
      <c r="CG18" s="294" t="s">
        <v>469</v>
      </c>
      <c r="CI18" s="288" t="s">
        <v>469</v>
      </c>
      <c r="CJ18" s="292" t="s">
        <v>469</v>
      </c>
      <c r="CK18" s="293" t="s">
        <v>469</v>
      </c>
      <c r="CL18" s="293" t="s">
        <v>469</v>
      </c>
      <c r="CM18" s="293" t="s">
        <v>469</v>
      </c>
      <c r="CN18" s="293" t="s">
        <v>469</v>
      </c>
      <c r="CO18" s="294" t="s">
        <v>469</v>
      </c>
      <c r="CQ18" s="295" t="e">
        <v>#REF!</v>
      </c>
      <c r="CR18" s="209" t="e">
        <v>#REF!</v>
      </c>
    </row>
    <row r="19" spans="3:96" ht="11.25">
      <c r="C19" s="241"/>
      <c r="D19" s="279" t="s">
        <v>319</v>
      </c>
      <c r="E19" s="280"/>
      <c r="F19" s="281"/>
      <c r="G19" s="282" t="s">
        <v>320</v>
      </c>
      <c r="H19" s="283"/>
      <c r="M19" s="209" t="e">
        <v>#REF!</v>
      </c>
      <c r="O19" s="301">
        <v>1010</v>
      </c>
      <c r="P19" s="302" t="s">
        <v>321</v>
      </c>
      <c r="Q19" s="244"/>
      <c r="R19" s="245"/>
      <c r="S19" s="243"/>
      <c r="T19" s="286">
        <v>1.1148272017837235</v>
      </c>
      <c r="U19" s="287">
        <v>0</v>
      </c>
      <c r="W19" s="248"/>
      <c r="X19" s="271" t="s">
        <v>469</v>
      </c>
      <c r="Y19" s="271" t="s">
        <v>469</v>
      </c>
      <c r="Z19" s="271" t="s">
        <v>469</v>
      </c>
      <c r="AA19" s="271" t="s">
        <v>469</v>
      </c>
      <c r="AB19" s="271" t="s">
        <v>469</v>
      </c>
      <c r="AC19" s="272" t="s">
        <v>469</v>
      </c>
      <c r="AE19" s="288" t="s">
        <v>469</v>
      </c>
      <c r="AF19" s="292" t="s">
        <v>469</v>
      </c>
      <c r="AG19" s="293" t="s">
        <v>469</v>
      </c>
      <c r="AH19" s="293" t="s">
        <v>469</v>
      </c>
      <c r="AI19" s="293" t="s">
        <v>469</v>
      </c>
      <c r="AJ19" s="293" t="s">
        <v>469</v>
      </c>
      <c r="AK19" s="294" t="s">
        <v>469</v>
      </c>
      <c r="AM19" s="288" t="s">
        <v>469</v>
      </c>
      <c r="AN19" s="292" t="s">
        <v>469</v>
      </c>
      <c r="AO19" s="293" t="s">
        <v>469</v>
      </c>
      <c r="AP19" s="293" t="s">
        <v>469</v>
      </c>
      <c r="AQ19" s="293" t="s">
        <v>469</v>
      </c>
      <c r="AR19" s="293" t="s">
        <v>469</v>
      </c>
      <c r="AS19" s="294" t="s">
        <v>469</v>
      </c>
      <c r="AU19" s="288" t="s">
        <v>469</v>
      </c>
      <c r="AV19" s="292" t="s">
        <v>469</v>
      </c>
      <c r="AW19" s="293" t="s">
        <v>469</v>
      </c>
      <c r="AX19" s="293" t="s">
        <v>469</v>
      </c>
      <c r="AY19" s="293" t="s">
        <v>469</v>
      </c>
      <c r="AZ19" s="293" t="s">
        <v>469</v>
      </c>
      <c r="BA19" s="294" t="s">
        <v>469</v>
      </c>
      <c r="BC19" s="288" t="s">
        <v>469</v>
      </c>
      <c r="BD19" s="292" t="s">
        <v>469</v>
      </c>
      <c r="BE19" s="293" t="s">
        <v>469</v>
      </c>
      <c r="BF19" s="293" t="s">
        <v>469</v>
      </c>
      <c r="BG19" s="293" t="s">
        <v>469</v>
      </c>
      <c r="BH19" s="293" t="s">
        <v>469</v>
      </c>
      <c r="BI19" s="294" t="s">
        <v>469</v>
      </c>
      <c r="BK19" s="288" t="s">
        <v>469</v>
      </c>
      <c r="BL19" s="292" t="s">
        <v>469</v>
      </c>
      <c r="BM19" s="293" t="s">
        <v>469</v>
      </c>
      <c r="BN19" s="293" t="s">
        <v>469</v>
      </c>
      <c r="BO19" s="293" t="s">
        <v>469</v>
      </c>
      <c r="BP19" s="293" t="s">
        <v>469</v>
      </c>
      <c r="BQ19" s="294" t="s">
        <v>469</v>
      </c>
      <c r="BS19" s="288" t="s">
        <v>469</v>
      </c>
      <c r="BT19" s="292" t="s">
        <v>469</v>
      </c>
      <c r="BU19" s="293" t="s">
        <v>469</v>
      </c>
      <c r="BV19" s="293" t="s">
        <v>469</v>
      </c>
      <c r="BW19" s="293" t="s">
        <v>469</v>
      </c>
      <c r="BX19" s="293" t="s">
        <v>469</v>
      </c>
      <c r="BY19" s="294" t="s">
        <v>469</v>
      </c>
      <c r="CA19" s="288" t="s">
        <v>469</v>
      </c>
      <c r="CB19" s="292" t="s">
        <v>469</v>
      </c>
      <c r="CC19" s="293" t="s">
        <v>469</v>
      </c>
      <c r="CD19" s="293" t="s">
        <v>469</v>
      </c>
      <c r="CE19" s="293" t="s">
        <v>469</v>
      </c>
      <c r="CF19" s="293" t="s">
        <v>469</v>
      </c>
      <c r="CG19" s="294" t="s">
        <v>469</v>
      </c>
      <c r="CI19" s="288" t="s">
        <v>469</v>
      </c>
      <c r="CJ19" s="292" t="s">
        <v>469</v>
      </c>
      <c r="CK19" s="293" t="s">
        <v>469</v>
      </c>
      <c r="CL19" s="293" t="s">
        <v>469</v>
      </c>
      <c r="CM19" s="293" t="s">
        <v>469</v>
      </c>
      <c r="CN19" s="293" t="s">
        <v>469</v>
      </c>
      <c r="CO19" s="294" t="s">
        <v>469</v>
      </c>
      <c r="CQ19" s="295" t="e">
        <v>#REF!</v>
      </c>
      <c r="CR19" s="209" t="e">
        <v>#REF!</v>
      </c>
    </row>
    <row r="20" spans="3:96" ht="11.25">
      <c r="C20" s="241"/>
      <c r="D20" s="279" t="s">
        <v>322</v>
      </c>
      <c r="E20" s="280"/>
      <c r="F20" s="281"/>
      <c r="G20" s="303">
        <v>1.5873015873015872</v>
      </c>
      <c r="H20" s="283" t="s">
        <v>323</v>
      </c>
      <c r="M20" s="209" t="e">
        <v>#REF!</v>
      </c>
      <c r="O20" s="301">
        <v>1100</v>
      </c>
      <c r="P20" s="302" t="s">
        <v>324</v>
      </c>
      <c r="Q20" s="244"/>
      <c r="R20" s="245"/>
      <c r="S20" s="285">
        <v>0</v>
      </c>
      <c r="T20" s="286">
        <v>1.1148272017837235</v>
      </c>
      <c r="U20" s="287">
        <v>0</v>
      </c>
      <c r="V20" s="208" t="s">
        <v>286</v>
      </c>
      <c r="W20" s="248" t="s">
        <v>280</v>
      </c>
      <c r="X20" s="271" t="s">
        <v>469</v>
      </c>
      <c r="Y20" s="271" t="e">
        <v>#REF!</v>
      </c>
      <c r="Z20" s="271" t="s">
        <v>469</v>
      </c>
      <c r="AA20" s="271" t="s">
        <v>469</v>
      </c>
      <c r="AB20" s="271" t="s">
        <v>469</v>
      </c>
      <c r="AC20" s="272" t="s">
        <v>469</v>
      </c>
      <c r="AE20" s="288" t="s">
        <v>469</v>
      </c>
      <c r="AF20" s="292" t="s">
        <v>469</v>
      </c>
      <c r="AG20" s="293" t="s">
        <v>469</v>
      </c>
      <c r="AH20" s="293" t="s">
        <v>469</v>
      </c>
      <c r="AI20" s="293" t="s">
        <v>469</v>
      </c>
      <c r="AJ20" s="293" t="s">
        <v>469</v>
      </c>
      <c r="AK20" s="294" t="s">
        <v>469</v>
      </c>
      <c r="AM20" s="288" t="s">
        <v>469</v>
      </c>
      <c r="AN20" s="292" t="s">
        <v>469</v>
      </c>
      <c r="AO20" s="293" t="s">
        <v>469</v>
      </c>
      <c r="AP20" s="293" t="s">
        <v>469</v>
      </c>
      <c r="AQ20" s="293" t="s">
        <v>469</v>
      </c>
      <c r="AR20" s="293" t="s">
        <v>469</v>
      </c>
      <c r="AS20" s="294" t="s">
        <v>469</v>
      </c>
      <c r="AU20" s="288">
        <v>0</v>
      </c>
      <c r="AV20" s="292" t="s">
        <v>469</v>
      </c>
      <c r="AW20" s="293" t="e">
        <v>#REF!</v>
      </c>
      <c r="AX20" s="293" t="s">
        <v>469</v>
      </c>
      <c r="AY20" s="293" t="s">
        <v>469</v>
      </c>
      <c r="AZ20" s="293" t="s">
        <v>469</v>
      </c>
      <c r="BA20" s="294" t="s">
        <v>469</v>
      </c>
      <c r="BC20" s="288" t="s">
        <v>469</v>
      </c>
      <c r="BD20" s="292" t="s">
        <v>469</v>
      </c>
      <c r="BE20" s="293" t="s">
        <v>469</v>
      </c>
      <c r="BF20" s="293" t="s">
        <v>469</v>
      </c>
      <c r="BG20" s="293" t="s">
        <v>469</v>
      </c>
      <c r="BH20" s="293" t="s">
        <v>469</v>
      </c>
      <c r="BI20" s="294" t="s">
        <v>469</v>
      </c>
      <c r="BK20" s="288" t="s">
        <v>469</v>
      </c>
      <c r="BL20" s="292" t="s">
        <v>469</v>
      </c>
      <c r="BM20" s="293" t="s">
        <v>469</v>
      </c>
      <c r="BN20" s="293" t="s">
        <v>469</v>
      </c>
      <c r="BO20" s="293" t="s">
        <v>469</v>
      </c>
      <c r="BP20" s="293" t="s">
        <v>469</v>
      </c>
      <c r="BQ20" s="294" t="s">
        <v>469</v>
      </c>
      <c r="BS20" s="288" t="s">
        <v>469</v>
      </c>
      <c r="BT20" s="292" t="s">
        <v>469</v>
      </c>
      <c r="BU20" s="293" t="s">
        <v>469</v>
      </c>
      <c r="BV20" s="293" t="s">
        <v>469</v>
      </c>
      <c r="BW20" s="293" t="s">
        <v>469</v>
      </c>
      <c r="BX20" s="293" t="s">
        <v>469</v>
      </c>
      <c r="BY20" s="294" t="s">
        <v>469</v>
      </c>
      <c r="CA20" s="288" t="s">
        <v>469</v>
      </c>
      <c r="CB20" s="292" t="s">
        <v>469</v>
      </c>
      <c r="CC20" s="293" t="s">
        <v>469</v>
      </c>
      <c r="CD20" s="293" t="s">
        <v>469</v>
      </c>
      <c r="CE20" s="293" t="s">
        <v>469</v>
      </c>
      <c r="CF20" s="293" t="s">
        <v>469</v>
      </c>
      <c r="CG20" s="294" t="s">
        <v>469</v>
      </c>
      <c r="CI20" s="288" t="s">
        <v>469</v>
      </c>
      <c r="CJ20" s="292" t="s">
        <v>469</v>
      </c>
      <c r="CK20" s="293" t="s">
        <v>469</v>
      </c>
      <c r="CL20" s="293" t="s">
        <v>469</v>
      </c>
      <c r="CM20" s="293" t="s">
        <v>469</v>
      </c>
      <c r="CN20" s="293" t="s">
        <v>469</v>
      </c>
      <c r="CO20" s="294" t="s">
        <v>469</v>
      </c>
      <c r="CQ20" s="295" t="e">
        <v>#REF!</v>
      </c>
      <c r="CR20" s="209" t="e">
        <v>#REF!</v>
      </c>
    </row>
    <row r="21" spans="3:96" ht="11.25">
      <c r="C21" s="222"/>
      <c r="D21" s="304" t="s">
        <v>325</v>
      </c>
      <c r="E21" s="305"/>
      <c r="F21" s="306"/>
      <c r="G21" s="307">
        <v>63</v>
      </c>
      <c r="H21" s="308" t="s">
        <v>212</v>
      </c>
      <c r="J21" s="309"/>
      <c r="K21" s="309"/>
      <c r="L21" s="309"/>
      <c r="M21" s="209" t="e">
        <v>#VALUE!</v>
      </c>
      <c r="O21" s="310"/>
      <c r="P21" s="311" t="s">
        <v>326</v>
      </c>
      <c r="Q21" s="244"/>
      <c r="R21" s="245"/>
      <c r="S21" s="285" t="s">
        <v>337</v>
      </c>
      <c r="T21" s="286">
        <v>1.1148272017837235</v>
      </c>
      <c r="U21" s="287" t="e">
        <v>#VALUE!</v>
      </c>
      <c r="W21" s="248"/>
      <c r="X21" s="271" t="s">
        <v>469</v>
      </c>
      <c r="Y21" s="271" t="s">
        <v>469</v>
      </c>
      <c r="Z21" s="271" t="s">
        <v>469</v>
      </c>
      <c r="AA21" s="271" t="s">
        <v>469</v>
      </c>
      <c r="AB21" s="271" t="s">
        <v>469</v>
      </c>
      <c r="AC21" s="272" t="s">
        <v>469</v>
      </c>
      <c r="AE21" s="288" t="s">
        <v>469</v>
      </c>
      <c r="AF21" s="292" t="s">
        <v>469</v>
      </c>
      <c r="AG21" s="293" t="s">
        <v>469</v>
      </c>
      <c r="AH21" s="293" t="s">
        <v>469</v>
      </c>
      <c r="AI21" s="293" t="s">
        <v>469</v>
      </c>
      <c r="AJ21" s="293" t="s">
        <v>469</v>
      </c>
      <c r="AK21" s="294" t="s">
        <v>469</v>
      </c>
      <c r="AM21" s="288" t="s">
        <v>469</v>
      </c>
      <c r="AN21" s="292" t="s">
        <v>469</v>
      </c>
      <c r="AO21" s="293" t="s">
        <v>469</v>
      </c>
      <c r="AP21" s="293" t="s">
        <v>469</v>
      </c>
      <c r="AQ21" s="293" t="s">
        <v>469</v>
      </c>
      <c r="AR21" s="293" t="s">
        <v>469</v>
      </c>
      <c r="AS21" s="294" t="s">
        <v>469</v>
      </c>
      <c r="AU21" s="288" t="s">
        <v>469</v>
      </c>
      <c r="AV21" s="292" t="s">
        <v>469</v>
      </c>
      <c r="AW21" s="293" t="s">
        <v>469</v>
      </c>
      <c r="AX21" s="293" t="s">
        <v>469</v>
      </c>
      <c r="AY21" s="293" t="s">
        <v>469</v>
      </c>
      <c r="AZ21" s="293" t="s">
        <v>469</v>
      </c>
      <c r="BA21" s="294" t="s">
        <v>469</v>
      </c>
      <c r="BC21" s="288" t="s">
        <v>469</v>
      </c>
      <c r="BD21" s="292" t="s">
        <v>469</v>
      </c>
      <c r="BE21" s="293" t="s">
        <v>469</v>
      </c>
      <c r="BF21" s="293" t="s">
        <v>469</v>
      </c>
      <c r="BG21" s="293" t="s">
        <v>469</v>
      </c>
      <c r="BH21" s="293" t="s">
        <v>469</v>
      </c>
      <c r="BI21" s="294" t="s">
        <v>469</v>
      </c>
      <c r="BK21" s="288" t="s">
        <v>469</v>
      </c>
      <c r="BL21" s="292" t="s">
        <v>469</v>
      </c>
      <c r="BM21" s="293" t="s">
        <v>469</v>
      </c>
      <c r="BN21" s="293" t="s">
        <v>469</v>
      </c>
      <c r="BO21" s="293" t="s">
        <v>469</v>
      </c>
      <c r="BP21" s="293" t="s">
        <v>469</v>
      </c>
      <c r="BQ21" s="294" t="s">
        <v>469</v>
      </c>
      <c r="BS21" s="288" t="s">
        <v>469</v>
      </c>
      <c r="BT21" s="292" t="s">
        <v>469</v>
      </c>
      <c r="BU21" s="293" t="s">
        <v>469</v>
      </c>
      <c r="BV21" s="293" t="s">
        <v>469</v>
      </c>
      <c r="BW21" s="293" t="s">
        <v>469</v>
      </c>
      <c r="BX21" s="293" t="s">
        <v>469</v>
      </c>
      <c r="BY21" s="294" t="s">
        <v>469</v>
      </c>
      <c r="CA21" s="288" t="s">
        <v>469</v>
      </c>
      <c r="CB21" s="292" t="s">
        <v>469</v>
      </c>
      <c r="CC21" s="293" t="s">
        <v>469</v>
      </c>
      <c r="CD21" s="293" t="s">
        <v>469</v>
      </c>
      <c r="CE21" s="293" t="s">
        <v>469</v>
      </c>
      <c r="CF21" s="293" t="s">
        <v>469</v>
      </c>
      <c r="CG21" s="294" t="s">
        <v>469</v>
      </c>
      <c r="CI21" s="288" t="s">
        <v>469</v>
      </c>
      <c r="CJ21" s="292" t="s">
        <v>469</v>
      </c>
      <c r="CK21" s="293" t="s">
        <v>469</v>
      </c>
      <c r="CL21" s="293" t="s">
        <v>469</v>
      </c>
      <c r="CM21" s="293" t="s">
        <v>469</v>
      </c>
      <c r="CN21" s="293" t="s">
        <v>469</v>
      </c>
      <c r="CO21" s="294" t="s">
        <v>469</v>
      </c>
      <c r="CQ21" s="295" t="e">
        <v>#VALUE!</v>
      </c>
      <c r="CR21" s="209" t="e">
        <v>#VALUE!</v>
      </c>
    </row>
    <row r="22" spans="3:96" ht="18" customHeight="1">
      <c r="C22" s="222"/>
      <c r="D22" s="312" t="s">
        <v>327</v>
      </c>
      <c r="E22" s="223"/>
      <c r="F22" s="223"/>
      <c r="M22" s="209" t="e">
        <v>#REF!</v>
      </c>
      <c r="O22" s="301">
        <v>1200</v>
      </c>
      <c r="P22" s="302" t="s">
        <v>328</v>
      </c>
      <c r="Q22" s="244"/>
      <c r="R22" s="245"/>
      <c r="S22" s="243"/>
      <c r="T22" s="286">
        <v>1.1148272017837235</v>
      </c>
      <c r="U22" s="287">
        <v>0</v>
      </c>
      <c r="W22" s="248"/>
      <c r="X22" s="271" t="s">
        <v>469</v>
      </c>
      <c r="Y22" s="271" t="s">
        <v>469</v>
      </c>
      <c r="Z22" s="271" t="s">
        <v>469</v>
      </c>
      <c r="AA22" s="271" t="s">
        <v>469</v>
      </c>
      <c r="AB22" s="271" t="s">
        <v>469</v>
      </c>
      <c r="AC22" s="272" t="s">
        <v>469</v>
      </c>
      <c r="AE22" s="288" t="s">
        <v>469</v>
      </c>
      <c r="AF22" s="292" t="s">
        <v>469</v>
      </c>
      <c r="AG22" s="293" t="s">
        <v>469</v>
      </c>
      <c r="AH22" s="293" t="s">
        <v>469</v>
      </c>
      <c r="AI22" s="293" t="s">
        <v>469</v>
      </c>
      <c r="AJ22" s="293" t="s">
        <v>469</v>
      </c>
      <c r="AK22" s="294" t="s">
        <v>469</v>
      </c>
      <c r="AM22" s="288" t="s">
        <v>469</v>
      </c>
      <c r="AN22" s="292" t="s">
        <v>469</v>
      </c>
      <c r="AO22" s="293" t="s">
        <v>469</v>
      </c>
      <c r="AP22" s="293" t="s">
        <v>469</v>
      </c>
      <c r="AQ22" s="293" t="s">
        <v>469</v>
      </c>
      <c r="AR22" s="293" t="s">
        <v>469</v>
      </c>
      <c r="AS22" s="294" t="s">
        <v>469</v>
      </c>
      <c r="AU22" s="288" t="s">
        <v>469</v>
      </c>
      <c r="AV22" s="292" t="s">
        <v>469</v>
      </c>
      <c r="AW22" s="293" t="s">
        <v>469</v>
      </c>
      <c r="AX22" s="293" t="s">
        <v>469</v>
      </c>
      <c r="AY22" s="293" t="s">
        <v>469</v>
      </c>
      <c r="AZ22" s="293" t="s">
        <v>469</v>
      </c>
      <c r="BA22" s="294" t="s">
        <v>469</v>
      </c>
      <c r="BC22" s="288" t="s">
        <v>469</v>
      </c>
      <c r="BD22" s="292" t="s">
        <v>469</v>
      </c>
      <c r="BE22" s="293" t="s">
        <v>469</v>
      </c>
      <c r="BF22" s="293" t="s">
        <v>469</v>
      </c>
      <c r="BG22" s="293" t="s">
        <v>469</v>
      </c>
      <c r="BH22" s="293" t="s">
        <v>469</v>
      </c>
      <c r="BI22" s="294" t="s">
        <v>469</v>
      </c>
      <c r="BK22" s="288" t="s">
        <v>469</v>
      </c>
      <c r="BL22" s="292" t="s">
        <v>469</v>
      </c>
      <c r="BM22" s="293" t="s">
        <v>469</v>
      </c>
      <c r="BN22" s="293" t="s">
        <v>469</v>
      </c>
      <c r="BO22" s="293" t="s">
        <v>469</v>
      </c>
      <c r="BP22" s="293" t="s">
        <v>469</v>
      </c>
      <c r="BQ22" s="294" t="s">
        <v>469</v>
      </c>
      <c r="BS22" s="288" t="s">
        <v>469</v>
      </c>
      <c r="BT22" s="292" t="s">
        <v>469</v>
      </c>
      <c r="BU22" s="293" t="s">
        <v>469</v>
      </c>
      <c r="BV22" s="293" t="s">
        <v>469</v>
      </c>
      <c r="BW22" s="293" t="s">
        <v>469</v>
      </c>
      <c r="BX22" s="293" t="s">
        <v>469</v>
      </c>
      <c r="BY22" s="294" t="s">
        <v>469</v>
      </c>
      <c r="CA22" s="288" t="s">
        <v>469</v>
      </c>
      <c r="CB22" s="292" t="s">
        <v>469</v>
      </c>
      <c r="CC22" s="293" t="s">
        <v>469</v>
      </c>
      <c r="CD22" s="293" t="s">
        <v>469</v>
      </c>
      <c r="CE22" s="293" t="s">
        <v>469</v>
      </c>
      <c r="CF22" s="293" t="s">
        <v>469</v>
      </c>
      <c r="CG22" s="294" t="s">
        <v>469</v>
      </c>
      <c r="CI22" s="288" t="s">
        <v>469</v>
      </c>
      <c r="CJ22" s="292" t="s">
        <v>469</v>
      </c>
      <c r="CK22" s="293" t="s">
        <v>469</v>
      </c>
      <c r="CL22" s="293" t="s">
        <v>469</v>
      </c>
      <c r="CM22" s="293" t="s">
        <v>469</v>
      </c>
      <c r="CN22" s="293" t="s">
        <v>469</v>
      </c>
      <c r="CO22" s="294" t="s">
        <v>469</v>
      </c>
      <c r="CQ22" s="295" t="e">
        <v>#REF!</v>
      </c>
      <c r="CR22" s="209" t="e">
        <v>#REF!</v>
      </c>
    </row>
    <row r="23" spans="2:99" s="315" customFormat="1" ht="15.75" customHeight="1">
      <c r="B23" s="403" t="s">
        <v>261</v>
      </c>
      <c r="C23" s="403" t="s">
        <v>262</v>
      </c>
      <c r="D23" s="415"/>
      <c r="E23" s="416" t="s">
        <v>329</v>
      </c>
      <c r="F23" s="417">
        <v>1.1148272017837235</v>
      </c>
      <c r="G23" s="418"/>
      <c r="H23" s="358"/>
      <c r="I23" s="313"/>
      <c r="J23" s="314"/>
      <c r="M23" s="209"/>
      <c r="N23" s="207"/>
      <c r="O23" s="298"/>
      <c r="P23" s="244"/>
      <c r="Q23" s="244"/>
      <c r="R23" s="245"/>
      <c r="S23" s="243"/>
      <c r="T23" s="246"/>
      <c r="U23" s="247"/>
      <c r="V23" s="316"/>
      <c r="W23" s="317"/>
      <c r="X23" s="271" t="s">
        <v>469</v>
      </c>
      <c r="Y23" s="271" t="s">
        <v>469</v>
      </c>
      <c r="Z23" s="271" t="s">
        <v>469</v>
      </c>
      <c r="AA23" s="271" t="s">
        <v>469</v>
      </c>
      <c r="AB23" s="271" t="s">
        <v>469</v>
      </c>
      <c r="AC23" s="272" t="s">
        <v>469</v>
      </c>
      <c r="AD23" s="207"/>
      <c r="AE23" s="288" t="s">
        <v>469</v>
      </c>
      <c r="AF23" s="292" t="s">
        <v>469</v>
      </c>
      <c r="AG23" s="293" t="s">
        <v>469</v>
      </c>
      <c r="AH23" s="293" t="s">
        <v>469</v>
      </c>
      <c r="AI23" s="293" t="s">
        <v>469</v>
      </c>
      <c r="AJ23" s="293" t="s">
        <v>469</v>
      </c>
      <c r="AK23" s="294" t="s">
        <v>469</v>
      </c>
      <c r="AL23" s="207"/>
      <c r="AM23" s="288" t="s">
        <v>469</v>
      </c>
      <c r="AN23" s="292" t="s">
        <v>469</v>
      </c>
      <c r="AO23" s="293" t="s">
        <v>469</v>
      </c>
      <c r="AP23" s="293" t="s">
        <v>469</v>
      </c>
      <c r="AQ23" s="293" t="s">
        <v>469</v>
      </c>
      <c r="AR23" s="293" t="s">
        <v>469</v>
      </c>
      <c r="AS23" s="294" t="s">
        <v>469</v>
      </c>
      <c r="AT23" s="207"/>
      <c r="AU23" s="288" t="s">
        <v>469</v>
      </c>
      <c r="AV23" s="292" t="s">
        <v>469</v>
      </c>
      <c r="AW23" s="293" t="s">
        <v>469</v>
      </c>
      <c r="AX23" s="293" t="s">
        <v>469</v>
      </c>
      <c r="AY23" s="293" t="s">
        <v>469</v>
      </c>
      <c r="AZ23" s="293" t="s">
        <v>469</v>
      </c>
      <c r="BA23" s="294" t="s">
        <v>469</v>
      </c>
      <c r="BB23" s="207"/>
      <c r="BC23" s="288" t="s">
        <v>469</v>
      </c>
      <c r="BD23" s="292" t="s">
        <v>469</v>
      </c>
      <c r="BE23" s="293" t="s">
        <v>469</v>
      </c>
      <c r="BF23" s="293" t="s">
        <v>469</v>
      </c>
      <c r="BG23" s="293" t="s">
        <v>469</v>
      </c>
      <c r="BH23" s="293" t="s">
        <v>469</v>
      </c>
      <c r="BI23" s="294" t="s">
        <v>469</v>
      </c>
      <c r="BJ23" s="207"/>
      <c r="BK23" s="288" t="s">
        <v>469</v>
      </c>
      <c r="BL23" s="292" t="s">
        <v>469</v>
      </c>
      <c r="BM23" s="293" t="s">
        <v>469</v>
      </c>
      <c r="BN23" s="293" t="s">
        <v>469</v>
      </c>
      <c r="BO23" s="293" t="s">
        <v>469</v>
      </c>
      <c r="BP23" s="293" t="s">
        <v>469</v>
      </c>
      <c r="BQ23" s="294" t="s">
        <v>469</v>
      </c>
      <c r="BR23" s="207"/>
      <c r="BS23" s="288" t="s">
        <v>469</v>
      </c>
      <c r="BT23" s="292" t="s">
        <v>469</v>
      </c>
      <c r="BU23" s="293" t="s">
        <v>469</v>
      </c>
      <c r="BV23" s="293" t="s">
        <v>469</v>
      </c>
      <c r="BW23" s="293" t="s">
        <v>469</v>
      </c>
      <c r="BX23" s="293" t="s">
        <v>469</v>
      </c>
      <c r="BY23" s="294" t="s">
        <v>469</v>
      </c>
      <c r="BZ23" s="207"/>
      <c r="CA23" s="288" t="s">
        <v>469</v>
      </c>
      <c r="CB23" s="292" t="s">
        <v>469</v>
      </c>
      <c r="CC23" s="293" t="s">
        <v>469</v>
      </c>
      <c r="CD23" s="293" t="s">
        <v>469</v>
      </c>
      <c r="CE23" s="293" t="s">
        <v>469</v>
      </c>
      <c r="CF23" s="293" t="s">
        <v>469</v>
      </c>
      <c r="CG23" s="294" t="s">
        <v>469</v>
      </c>
      <c r="CH23" s="207"/>
      <c r="CI23" s="288" t="s">
        <v>469</v>
      </c>
      <c r="CJ23" s="292" t="s">
        <v>469</v>
      </c>
      <c r="CK23" s="293" t="s">
        <v>469</v>
      </c>
      <c r="CL23" s="293" t="s">
        <v>469</v>
      </c>
      <c r="CM23" s="293" t="s">
        <v>469</v>
      </c>
      <c r="CN23" s="293" t="s">
        <v>469</v>
      </c>
      <c r="CO23" s="294" t="s">
        <v>469</v>
      </c>
      <c r="CP23" s="207"/>
      <c r="CQ23" s="295"/>
      <c r="CR23" s="209" t="s">
        <v>469</v>
      </c>
      <c r="CS23" s="207"/>
      <c r="CT23" s="207"/>
      <c r="CU23" s="207"/>
    </row>
    <row r="24" spans="2:99" s="315" customFormat="1" ht="15.75" customHeight="1">
      <c r="B24" s="419"/>
      <c r="C24" s="420"/>
      <c r="D24" s="420"/>
      <c r="E24" s="416" t="s">
        <v>330</v>
      </c>
      <c r="F24" s="417">
        <v>2.6287042263099236</v>
      </c>
      <c r="G24" s="418"/>
      <c r="H24" s="421" t="s">
        <v>331</v>
      </c>
      <c r="I24" s="237" t="s">
        <v>332</v>
      </c>
      <c r="J24" s="314"/>
      <c r="M24" s="263" t="e">
        <v>#REF!</v>
      </c>
      <c r="N24" s="207" t="e">
        <v>#REF!</v>
      </c>
      <c r="O24" s="264">
        <v>2000</v>
      </c>
      <c r="P24" s="302" t="s">
        <v>333</v>
      </c>
      <c r="Q24" s="244"/>
      <c r="R24" s="267"/>
      <c r="S24" s="268" t="e">
        <v>#REF!</v>
      </c>
      <c r="T24" s="268"/>
      <c r="U24" s="269" t="e">
        <v>#REF!</v>
      </c>
      <c r="V24" s="316"/>
      <c r="W24" s="317"/>
      <c r="X24" s="271" t="s">
        <v>469</v>
      </c>
      <c r="Y24" s="271" t="s">
        <v>469</v>
      </c>
      <c r="Z24" s="271" t="s">
        <v>469</v>
      </c>
      <c r="AA24" s="271" t="s">
        <v>469</v>
      </c>
      <c r="AB24" s="271" t="s">
        <v>469</v>
      </c>
      <c r="AC24" s="272" t="s">
        <v>469</v>
      </c>
      <c r="AD24" s="207"/>
      <c r="AE24" s="288" t="s">
        <v>469</v>
      </c>
      <c r="AF24" s="292" t="s">
        <v>469</v>
      </c>
      <c r="AG24" s="293" t="s">
        <v>469</v>
      </c>
      <c r="AH24" s="293" t="s">
        <v>469</v>
      </c>
      <c r="AI24" s="293" t="s">
        <v>469</v>
      </c>
      <c r="AJ24" s="293" t="s">
        <v>469</v>
      </c>
      <c r="AK24" s="294" t="s">
        <v>469</v>
      </c>
      <c r="AL24" s="207"/>
      <c r="AM24" s="288" t="s">
        <v>469</v>
      </c>
      <c r="AN24" s="292" t="s">
        <v>469</v>
      </c>
      <c r="AO24" s="293" t="s">
        <v>469</v>
      </c>
      <c r="AP24" s="293" t="s">
        <v>469</v>
      </c>
      <c r="AQ24" s="293" t="s">
        <v>469</v>
      </c>
      <c r="AR24" s="293" t="s">
        <v>469</v>
      </c>
      <c r="AS24" s="294" t="s">
        <v>469</v>
      </c>
      <c r="AT24" s="207"/>
      <c r="AU24" s="288" t="s">
        <v>469</v>
      </c>
      <c r="AV24" s="292" t="s">
        <v>469</v>
      </c>
      <c r="AW24" s="293" t="s">
        <v>469</v>
      </c>
      <c r="AX24" s="293" t="s">
        <v>469</v>
      </c>
      <c r="AY24" s="293" t="s">
        <v>469</v>
      </c>
      <c r="AZ24" s="293" t="s">
        <v>469</v>
      </c>
      <c r="BA24" s="294" t="s">
        <v>469</v>
      </c>
      <c r="BB24" s="207"/>
      <c r="BC24" s="288" t="s">
        <v>469</v>
      </c>
      <c r="BD24" s="292" t="s">
        <v>469</v>
      </c>
      <c r="BE24" s="293" t="s">
        <v>469</v>
      </c>
      <c r="BF24" s="293" t="s">
        <v>469</v>
      </c>
      <c r="BG24" s="293" t="s">
        <v>469</v>
      </c>
      <c r="BH24" s="293" t="s">
        <v>469</v>
      </c>
      <c r="BI24" s="294" t="s">
        <v>469</v>
      </c>
      <c r="BJ24" s="207"/>
      <c r="BK24" s="288" t="s">
        <v>469</v>
      </c>
      <c r="BL24" s="292" t="s">
        <v>469</v>
      </c>
      <c r="BM24" s="293" t="s">
        <v>469</v>
      </c>
      <c r="BN24" s="293" t="s">
        <v>469</v>
      </c>
      <c r="BO24" s="293" t="s">
        <v>469</v>
      </c>
      <c r="BP24" s="293" t="s">
        <v>469</v>
      </c>
      <c r="BQ24" s="294" t="s">
        <v>469</v>
      </c>
      <c r="BR24" s="207"/>
      <c r="BS24" s="288" t="s">
        <v>469</v>
      </c>
      <c r="BT24" s="292" t="s">
        <v>469</v>
      </c>
      <c r="BU24" s="293" t="s">
        <v>469</v>
      </c>
      <c r="BV24" s="293" t="s">
        <v>469</v>
      </c>
      <c r="BW24" s="293" t="s">
        <v>469</v>
      </c>
      <c r="BX24" s="293" t="s">
        <v>469</v>
      </c>
      <c r="BY24" s="294" t="s">
        <v>469</v>
      </c>
      <c r="BZ24" s="207"/>
      <c r="CA24" s="288" t="s">
        <v>469</v>
      </c>
      <c r="CB24" s="292" t="s">
        <v>469</v>
      </c>
      <c r="CC24" s="293" t="s">
        <v>469</v>
      </c>
      <c r="CD24" s="293" t="s">
        <v>469</v>
      </c>
      <c r="CE24" s="293" t="s">
        <v>469</v>
      </c>
      <c r="CF24" s="293" t="s">
        <v>469</v>
      </c>
      <c r="CG24" s="294" t="s">
        <v>469</v>
      </c>
      <c r="CH24" s="207"/>
      <c r="CI24" s="288" t="s">
        <v>469</v>
      </c>
      <c r="CJ24" s="292" t="s">
        <v>469</v>
      </c>
      <c r="CK24" s="293" t="s">
        <v>469</v>
      </c>
      <c r="CL24" s="293" t="s">
        <v>469</v>
      </c>
      <c r="CM24" s="293" t="s">
        <v>469</v>
      </c>
      <c r="CN24" s="293" t="s">
        <v>469</v>
      </c>
      <c r="CO24" s="294" t="s">
        <v>469</v>
      </c>
      <c r="CP24" s="207"/>
      <c r="CQ24" s="277"/>
      <c r="CR24" s="209" t="s">
        <v>469</v>
      </c>
      <c r="CS24" s="207"/>
      <c r="CT24" s="207" t="e">
        <v>#REF!</v>
      </c>
      <c r="CU24" s="278" t="e">
        <v>#REF!</v>
      </c>
    </row>
    <row r="25" spans="2:99" s="315" customFormat="1" ht="15.75" customHeight="1">
      <c r="B25" s="419"/>
      <c r="C25" s="420"/>
      <c r="D25" s="420"/>
      <c r="E25" s="416" t="s">
        <v>334</v>
      </c>
      <c r="F25" s="417">
        <v>1.8834771003374502</v>
      </c>
      <c r="G25" s="418"/>
      <c r="H25" s="421"/>
      <c r="I25" s="318"/>
      <c r="J25" s="314"/>
      <c r="M25" s="209" t="e">
        <v>#REF!</v>
      </c>
      <c r="N25" s="207"/>
      <c r="O25" s="319">
        <v>2100</v>
      </c>
      <c r="P25" s="279" t="s">
        <v>335</v>
      </c>
      <c r="Q25" s="244"/>
      <c r="R25" s="245"/>
      <c r="S25" s="320" t="e">
        <v>#REF!</v>
      </c>
      <c r="T25" s="286">
        <v>1.8834771003374502</v>
      </c>
      <c r="U25" s="287" t="e">
        <v>#REF!</v>
      </c>
      <c r="V25" s="316" t="s">
        <v>291</v>
      </c>
      <c r="W25" s="317" t="s">
        <v>281</v>
      </c>
      <c r="X25" s="271" t="s">
        <v>469</v>
      </c>
      <c r="Y25" s="271" t="s">
        <v>469</v>
      </c>
      <c r="Z25" s="271" t="e">
        <v>#REF!</v>
      </c>
      <c r="AA25" s="271" t="s">
        <v>469</v>
      </c>
      <c r="AB25" s="271" t="s">
        <v>469</v>
      </c>
      <c r="AC25" s="272" t="s">
        <v>469</v>
      </c>
      <c r="AD25" s="207"/>
      <c r="AE25" s="288" t="s">
        <v>469</v>
      </c>
      <c r="AF25" s="292" t="s">
        <v>469</v>
      </c>
      <c r="AG25" s="293" t="s">
        <v>469</v>
      </c>
      <c r="AH25" s="293" t="s">
        <v>469</v>
      </c>
      <c r="AI25" s="293" t="s">
        <v>469</v>
      </c>
      <c r="AJ25" s="293" t="s">
        <v>469</v>
      </c>
      <c r="AK25" s="294" t="s">
        <v>469</v>
      </c>
      <c r="AL25" s="207"/>
      <c r="AM25" s="288" t="s">
        <v>469</v>
      </c>
      <c r="AN25" s="292" t="s">
        <v>469</v>
      </c>
      <c r="AO25" s="293" t="s">
        <v>469</v>
      </c>
      <c r="AP25" s="293" t="s">
        <v>469</v>
      </c>
      <c r="AQ25" s="293" t="s">
        <v>469</v>
      </c>
      <c r="AR25" s="293" t="s">
        <v>469</v>
      </c>
      <c r="AS25" s="294" t="s">
        <v>469</v>
      </c>
      <c r="AT25" s="207"/>
      <c r="AU25" s="288" t="s">
        <v>469</v>
      </c>
      <c r="AV25" s="292" t="s">
        <v>469</v>
      </c>
      <c r="AW25" s="293" t="s">
        <v>469</v>
      </c>
      <c r="AX25" s="293" t="s">
        <v>469</v>
      </c>
      <c r="AY25" s="293" t="s">
        <v>469</v>
      </c>
      <c r="AZ25" s="293" t="s">
        <v>469</v>
      </c>
      <c r="BA25" s="294" t="s">
        <v>469</v>
      </c>
      <c r="BB25" s="207"/>
      <c r="BC25" s="288" t="s">
        <v>469</v>
      </c>
      <c r="BD25" s="292" t="s">
        <v>469</v>
      </c>
      <c r="BE25" s="293" t="s">
        <v>469</v>
      </c>
      <c r="BF25" s="293" t="s">
        <v>469</v>
      </c>
      <c r="BG25" s="293" t="s">
        <v>469</v>
      </c>
      <c r="BH25" s="293" t="s">
        <v>469</v>
      </c>
      <c r="BI25" s="294" t="s">
        <v>469</v>
      </c>
      <c r="BJ25" s="207"/>
      <c r="BK25" s="288" t="s">
        <v>469</v>
      </c>
      <c r="BL25" s="292" t="s">
        <v>469</v>
      </c>
      <c r="BM25" s="293" t="s">
        <v>469</v>
      </c>
      <c r="BN25" s="293" t="s">
        <v>469</v>
      </c>
      <c r="BO25" s="293" t="s">
        <v>469</v>
      </c>
      <c r="BP25" s="293" t="s">
        <v>469</v>
      </c>
      <c r="BQ25" s="294" t="s">
        <v>469</v>
      </c>
      <c r="BR25" s="207"/>
      <c r="BS25" s="288" t="s">
        <v>469</v>
      </c>
      <c r="BT25" s="292" t="s">
        <v>469</v>
      </c>
      <c r="BU25" s="293" t="s">
        <v>469</v>
      </c>
      <c r="BV25" s="293" t="s">
        <v>469</v>
      </c>
      <c r="BW25" s="293" t="s">
        <v>469</v>
      </c>
      <c r="BX25" s="293" t="s">
        <v>469</v>
      </c>
      <c r="BY25" s="294" t="s">
        <v>469</v>
      </c>
      <c r="BZ25" s="207"/>
      <c r="CA25" s="288" t="s">
        <v>469</v>
      </c>
      <c r="CB25" s="292" t="s">
        <v>469</v>
      </c>
      <c r="CC25" s="293" t="s">
        <v>469</v>
      </c>
      <c r="CD25" s="293" t="s">
        <v>469</v>
      </c>
      <c r="CE25" s="293" t="s">
        <v>469</v>
      </c>
      <c r="CF25" s="293" t="s">
        <v>469</v>
      </c>
      <c r="CG25" s="294" t="s">
        <v>469</v>
      </c>
      <c r="CH25" s="207"/>
      <c r="CI25" s="288" t="e">
        <v>#REF!</v>
      </c>
      <c r="CJ25" s="292" t="s">
        <v>469</v>
      </c>
      <c r="CK25" s="293" t="s">
        <v>469</v>
      </c>
      <c r="CL25" s="293" t="e">
        <v>#REF!</v>
      </c>
      <c r="CM25" s="293" t="s">
        <v>469</v>
      </c>
      <c r="CN25" s="293" t="s">
        <v>469</v>
      </c>
      <c r="CO25" s="294" t="s">
        <v>469</v>
      </c>
      <c r="CP25" s="207"/>
      <c r="CQ25" s="295" t="e">
        <v>#REF!</v>
      </c>
      <c r="CR25" s="209" t="e">
        <v>#REF!</v>
      </c>
      <c r="CS25" s="207"/>
      <c r="CT25" s="207"/>
      <c r="CU25" s="207"/>
    </row>
    <row r="26" spans="2:99" s="315" customFormat="1" ht="15.75" customHeight="1">
      <c r="B26" s="403"/>
      <c r="C26" s="415"/>
      <c r="D26" s="422" t="s">
        <v>336</v>
      </c>
      <c r="E26" s="423"/>
      <c r="F26" s="402"/>
      <c r="G26" s="418"/>
      <c r="H26" s="418"/>
      <c r="I26" s="301"/>
      <c r="J26" s="321"/>
      <c r="M26" s="209" t="e">
        <v>#REF!</v>
      </c>
      <c r="N26" s="207"/>
      <c r="O26" s="319">
        <v>2210</v>
      </c>
      <c r="P26" s="279" t="s">
        <v>424</v>
      </c>
      <c r="Q26" s="244"/>
      <c r="R26" s="245"/>
      <c r="S26" s="320" t="e">
        <v>#REF!</v>
      </c>
      <c r="T26" s="286">
        <v>1.8834771003374502</v>
      </c>
      <c r="U26" s="287" t="e">
        <v>#REF!</v>
      </c>
      <c r="V26" s="316" t="s">
        <v>291</v>
      </c>
      <c r="W26" s="317" t="s">
        <v>281</v>
      </c>
      <c r="X26" s="271" t="s">
        <v>469</v>
      </c>
      <c r="Y26" s="271" t="s">
        <v>469</v>
      </c>
      <c r="Z26" s="271" t="e">
        <v>#REF!</v>
      </c>
      <c r="AA26" s="271" t="s">
        <v>469</v>
      </c>
      <c r="AB26" s="271" t="s">
        <v>469</v>
      </c>
      <c r="AC26" s="272" t="s">
        <v>469</v>
      </c>
      <c r="AD26" s="207"/>
      <c r="AE26" s="288" t="s">
        <v>469</v>
      </c>
      <c r="AF26" s="292" t="s">
        <v>469</v>
      </c>
      <c r="AG26" s="293" t="s">
        <v>469</v>
      </c>
      <c r="AH26" s="293" t="s">
        <v>469</v>
      </c>
      <c r="AI26" s="293" t="s">
        <v>469</v>
      </c>
      <c r="AJ26" s="293" t="s">
        <v>469</v>
      </c>
      <c r="AK26" s="294" t="s">
        <v>469</v>
      </c>
      <c r="AL26" s="207"/>
      <c r="AM26" s="288" t="s">
        <v>469</v>
      </c>
      <c r="AN26" s="292" t="s">
        <v>469</v>
      </c>
      <c r="AO26" s="293" t="s">
        <v>469</v>
      </c>
      <c r="AP26" s="293" t="s">
        <v>469</v>
      </c>
      <c r="AQ26" s="293" t="s">
        <v>469</v>
      </c>
      <c r="AR26" s="293" t="s">
        <v>469</v>
      </c>
      <c r="AS26" s="294" t="s">
        <v>469</v>
      </c>
      <c r="AT26" s="207"/>
      <c r="AU26" s="288" t="s">
        <v>469</v>
      </c>
      <c r="AV26" s="292" t="s">
        <v>469</v>
      </c>
      <c r="AW26" s="293" t="s">
        <v>469</v>
      </c>
      <c r="AX26" s="293" t="s">
        <v>469</v>
      </c>
      <c r="AY26" s="293" t="s">
        <v>469</v>
      </c>
      <c r="AZ26" s="293" t="s">
        <v>469</v>
      </c>
      <c r="BA26" s="294" t="s">
        <v>469</v>
      </c>
      <c r="BB26" s="207"/>
      <c r="BC26" s="288" t="s">
        <v>469</v>
      </c>
      <c r="BD26" s="292" t="s">
        <v>469</v>
      </c>
      <c r="BE26" s="293" t="s">
        <v>469</v>
      </c>
      <c r="BF26" s="293" t="s">
        <v>469</v>
      </c>
      <c r="BG26" s="293" t="s">
        <v>469</v>
      </c>
      <c r="BH26" s="293" t="s">
        <v>469</v>
      </c>
      <c r="BI26" s="294" t="s">
        <v>469</v>
      </c>
      <c r="BJ26" s="207"/>
      <c r="BK26" s="288" t="s">
        <v>469</v>
      </c>
      <c r="BL26" s="292" t="s">
        <v>469</v>
      </c>
      <c r="BM26" s="293" t="s">
        <v>469</v>
      </c>
      <c r="BN26" s="293" t="s">
        <v>469</v>
      </c>
      <c r="BO26" s="293" t="s">
        <v>469</v>
      </c>
      <c r="BP26" s="293" t="s">
        <v>469</v>
      </c>
      <c r="BQ26" s="294" t="s">
        <v>469</v>
      </c>
      <c r="BR26" s="207"/>
      <c r="BS26" s="288" t="s">
        <v>469</v>
      </c>
      <c r="BT26" s="292" t="s">
        <v>469</v>
      </c>
      <c r="BU26" s="293" t="s">
        <v>469</v>
      </c>
      <c r="BV26" s="293" t="s">
        <v>469</v>
      </c>
      <c r="BW26" s="293" t="s">
        <v>469</v>
      </c>
      <c r="BX26" s="293" t="s">
        <v>469</v>
      </c>
      <c r="BY26" s="294" t="s">
        <v>469</v>
      </c>
      <c r="BZ26" s="207"/>
      <c r="CA26" s="288" t="s">
        <v>469</v>
      </c>
      <c r="CB26" s="292" t="s">
        <v>469</v>
      </c>
      <c r="CC26" s="293" t="s">
        <v>469</v>
      </c>
      <c r="CD26" s="293" t="s">
        <v>469</v>
      </c>
      <c r="CE26" s="293" t="s">
        <v>469</v>
      </c>
      <c r="CF26" s="293" t="s">
        <v>469</v>
      </c>
      <c r="CG26" s="294" t="s">
        <v>469</v>
      </c>
      <c r="CH26" s="207"/>
      <c r="CI26" s="288" t="e">
        <v>#REF!</v>
      </c>
      <c r="CJ26" s="292" t="s">
        <v>469</v>
      </c>
      <c r="CK26" s="293" t="s">
        <v>469</v>
      </c>
      <c r="CL26" s="293" t="e">
        <v>#REF!</v>
      </c>
      <c r="CM26" s="293" t="s">
        <v>469</v>
      </c>
      <c r="CN26" s="293" t="s">
        <v>469</v>
      </c>
      <c r="CO26" s="294" t="s">
        <v>469</v>
      </c>
      <c r="CP26" s="207"/>
      <c r="CQ26" s="295" t="e">
        <v>#REF!</v>
      </c>
      <c r="CR26" s="209" t="e">
        <v>#REF!</v>
      </c>
      <c r="CS26" s="207"/>
      <c r="CT26" s="207"/>
      <c r="CU26" s="207"/>
    </row>
    <row r="27" spans="2:96" ht="15.75" customHeight="1">
      <c r="B27" s="403"/>
      <c r="C27" s="415"/>
      <c r="D27" s="403" t="s">
        <v>337</v>
      </c>
      <c r="E27" s="402" t="s">
        <v>338</v>
      </c>
      <c r="F27" s="402"/>
      <c r="G27" s="418"/>
      <c r="H27" s="418"/>
      <c r="I27" s="301"/>
      <c r="J27" s="321"/>
      <c r="M27" s="209" t="e">
        <v>#REF!</v>
      </c>
      <c r="O27" s="319"/>
      <c r="P27" s="279" t="s">
        <v>339</v>
      </c>
      <c r="Q27" s="244"/>
      <c r="R27" s="245"/>
      <c r="S27" s="320" t="e">
        <v>#REF!</v>
      </c>
      <c r="T27" s="286">
        <v>1.8834771003374502</v>
      </c>
      <c r="U27" s="287" t="e">
        <v>#REF!</v>
      </c>
      <c r="V27" s="316" t="s">
        <v>291</v>
      </c>
      <c r="W27" s="248" t="s">
        <v>280</v>
      </c>
      <c r="X27" s="271" t="s">
        <v>469</v>
      </c>
      <c r="Y27" s="271" t="e">
        <v>#REF!</v>
      </c>
      <c r="Z27" s="271" t="s">
        <v>469</v>
      </c>
      <c r="AA27" s="271" t="s">
        <v>469</v>
      </c>
      <c r="AB27" s="271" t="s">
        <v>469</v>
      </c>
      <c r="AC27" s="272" t="s">
        <v>469</v>
      </c>
      <c r="AE27" s="288" t="s">
        <v>469</v>
      </c>
      <c r="AF27" s="292" t="s">
        <v>469</v>
      </c>
      <c r="AG27" s="293" t="s">
        <v>469</v>
      </c>
      <c r="AH27" s="293" t="s">
        <v>469</v>
      </c>
      <c r="AI27" s="293" t="s">
        <v>469</v>
      </c>
      <c r="AJ27" s="293" t="s">
        <v>469</v>
      </c>
      <c r="AK27" s="294" t="s">
        <v>469</v>
      </c>
      <c r="AM27" s="288" t="s">
        <v>469</v>
      </c>
      <c r="AN27" s="292" t="s">
        <v>469</v>
      </c>
      <c r="AO27" s="293" t="s">
        <v>469</v>
      </c>
      <c r="AP27" s="293" t="s">
        <v>469</v>
      </c>
      <c r="AQ27" s="293" t="s">
        <v>469</v>
      </c>
      <c r="AR27" s="293" t="s">
        <v>469</v>
      </c>
      <c r="AS27" s="294" t="s">
        <v>469</v>
      </c>
      <c r="AU27" s="288" t="s">
        <v>469</v>
      </c>
      <c r="AV27" s="292" t="s">
        <v>469</v>
      </c>
      <c r="AW27" s="293" t="s">
        <v>469</v>
      </c>
      <c r="AX27" s="293" t="s">
        <v>469</v>
      </c>
      <c r="AY27" s="293" t="s">
        <v>469</v>
      </c>
      <c r="AZ27" s="293" t="s">
        <v>469</v>
      </c>
      <c r="BA27" s="294" t="s">
        <v>469</v>
      </c>
      <c r="BC27" s="288" t="s">
        <v>469</v>
      </c>
      <c r="BD27" s="292" t="s">
        <v>469</v>
      </c>
      <c r="BE27" s="293" t="s">
        <v>469</v>
      </c>
      <c r="BF27" s="293" t="s">
        <v>469</v>
      </c>
      <c r="BG27" s="293" t="s">
        <v>469</v>
      </c>
      <c r="BH27" s="293" t="s">
        <v>469</v>
      </c>
      <c r="BI27" s="294" t="s">
        <v>469</v>
      </c>
      <c r="BK27" s="288" t="s">
        <v>469</v>
      </c>
      <c r="BL27" s="292" t="s">
        <v>469</v>
      </c>
      <c r="BM27" s="293" t="s">
        <v>469</v>
      </c>
      <c r="BN27" s="293" t="s">
        <v>469</v>
      </c>
      <c r="BO27" s="293" t="s">
        <v>469</v>
      </c>
      <c r="BP27" s="293" t="s">
        <v>469</v>
      </c>
      <c r="BQ27" s="294" t="s">
        <v>469</v>
      </c>
      <c r="BS27" s="288" t="s">
        <v>469</v>
      </c>
      <c r="BT27" s="292" t="s">
        <v>469</v>
      </c>
      <c r="BU27" s="293" t="s">
        <v>469</v>
      </c>
      <c r="BV27" s="293" t="s">
        <v>469</v>
      </c>
      <c r="BW27" s="293" t="s">
        <v>469</v>
      </c>
      <c r="BX27" s="293" t="s">
        <v>469</v>
      </c>
      <c r="BY27" s="294" t="s">
        <v>469</v>
      </c>
      <c r="CA27" s="288" t="s">
        <v>469</v>
      </c>
      <c r="CB27" s="292" t="s">
        <v>469</v>
      </c>
      <c r="CC27" s="293" t="s">
        <v>469</v>
      </c>
      <c r="CD27" s="293" t="s">
        <v>469</v>
      </c>
      <c r="CE27" s="293" t="s">
        <v>469</v>
      </c>
      <c r="CF27" s="293" t="s">
        <v>469</v>
      </c>
      <c r="CG27" s="294" t="s">
        <v>469</v>
      </c>
      <c r="CI27" s="288" t="e">
        <v>#REF!</v>
      </c>
      <c r="CJ27" s="292" t="s">
        <v>469</v>
      </c>
      <c r="CK27" s="293" t="e">
        <v>#REF!</v>
      </c>
      <c r="CL27" s="293" t="s">
        <v>469</v>
      </c>
      <c r="CM27" s="293" t="s">
        <v>469</v>
      </c>
      <c r="CN27" s="293" t="s">
        <v>469</v>
      </c>
      <c r="CO27" s="294" t="s">
        <v>469</v>
      </c>
      <c r="CQ27" s="295" t="e">
        <v>#REF!</v>
      </c>
      <c r="CR27" s="209" t="e">
        <v>#REF!</v>
      </c>
    </row>
    <row r="28" spans="2:96" ht="15.75" customHeight="1">
      <c r="B28" s="403" t="s">
        <v>294</v>
      </c>
      <c r="C28" s="415" t="s">
        <v>295</v>
      </c>
      <c r="D28" s="424">
        <v>0</v>
      </c>
      <c r="E28" s="425">
        <v>0</v>
      </c>
      <c r="F28" s="397"/>
      <c r="G28" s="352">
        <v>0.023516493931631237</v>
      </c>
      <c r="H28" s="348">
        <v>11364000</v>
      </c>
      <c r="I28" s="322">
        <v>0</v>
      </c>
      <c r="J28" s="323"/>
      <c r="M28" s="209" t="e">
        <v>#REF!</v>
      </c>
      <c r="O28" s="319"/>
      <c r="P28" s="279" t="s">
        <v>340</v>
      </c>
      <c r="Q28" s="244"/>
      <c r="R28" s="245"/>
      <c r="S28" s="320">
        <v>484221.1055276382</v>
      </c>
      <c r="T28" s="286">
        <v>1.8834771003374502</v>
      </c>
      <c r="U28" s="287">
        <v>912019.3637613906</v>
      </c>
      <c r="V28" s="316" t="s">
        <v>291</v>
      </c>
      <c r="W28" s="248" t="s">
        <v>280</v>
      </c>
      <c r="X28" s="271" t="s">
        <v>469</v>
      </c>
      <c r="Y28" s="271" t="e">
        <v>#REF!</v>
      </c>
      <c r="Z28" s="271" t="s">
        <v>469</v>
      </c>
      <c r="AA28" s="271" t="s">
        <v>469</v>
      </c>
      <c r="AB28" s="271" t="s">
        <v>469</v>
      </c>
      <c r="AC28" s="272" t="s">
        <v>469</v>
      </c>
      <c r="AE28" s="288" t="s">
        <v>469</v>
      </c>
      <c r="AF28" s="292" t="s">
        <v>469</v>
      </c>
      <c r="AG28" s="293" t="s">
        <v>469</v>
      </c>
      <c r="AH28" s="293" t="s">
        <v>469</v>
      </c>
      <c r="AI28" s="293" t="s">
        <v>469</v>
      </c>
      <c r="AJ28" s="293" t="s">
        <v>469</v>
      </c>
      <c r="AK28" s="294" t="s">
        <v>469</v>
      </c>
      <c r="AM28" s="288" t="s">
        <v>469</v>
      </c>
      <c r="AN28" s="292" t="s">
        <v>469</v>
      </c>
      <c r="AO28" s="293" t="s">
        <v>469</v>
      </c>
      <c r="AP28" s="293" t="s">
        <v>469</v>
      </c>
      <c r="AQ28" s="293" t="s">
        <v>469</v>
      </c>
      <c r="AR28" s="293" t="s">
        <v>469</v>
      </c>
      <c r="AS28" s="294" t="s">
        <v>469</v>
      </c>
      <c r="AU28" s="288" t="s">
        <v>469</v>
      </c>
      <c r="AV28" s="292" t="s">
        <v>469</v>
      </c>
      <c r="AW28" s="293" t="s">
        <v>469</v>
      </c>
      <c r="AX28" s="293" t="s">
        <v>469</v>
      </c>
      <c r="AY28" s="293" t="s">
        <v>469</v>
      </c>
      <c r="AZ28" s="293" t="s">
        <v>469</v>
      </c>
      <c r="BA28" s="294" t="s">
        <v>469</v>
      </c>
      <c r="BC28" s="288" t="s">
        <v>469</v>
      </c>
      <c r="BD28" s="292" t="s">
        <v>469</v>
      </c>
      <c r="BE28" s="293" t="s">
        <v>469</v>
      </c>
      <c r="BF28" s="293" t="s">
        <v>469</v>
      </c>
      <c r="BG28" s="293" t="s">
        <v>469</v>
      </c>
      <c r="BH28" s="293" t="s">
        <v>469</v>
      </c>
      <c r="BI28" s="294" t="s">
        <v>469</v>
      </c>
      <c r="BK28" s="288" t="s">
        <v>469</v>
      </c>
      <c r="BL28" s="292" t="s">
        <v>469</v>
      </c>
      <c r="BM28" s="293" t="s">
        <v>469</v>
      </c>
      <c r="BN28" s="293" t="s">
        <v>469</v>
      </c>
      <c r="BO28" s="293" t="s">
        <v>469</v>
      </c>
      <c r="BP28" s="293" t="s">
        <v>469</v>
      </c>
      <c r="BQ28" s="294" t="s">
        <v>469</v>
      </c>
      <c r="BS28" s="288" t="s">
        <v>469</v>
      </c>
      <c r="BT28" s="292" t="s">
        <v>469</v>
      </c>
      <c r="BU28" s="293" t="s">
        <v>469</v>
      </c>
      <c r="BV28" s="293" t="s">
        <v>469</v>
      </c>
      <c r="BW28" s="293" t="s">
        <v>469</v>
      </c>
      <c r="BX28" s="293" t="s">
        <v>469</v>
      </c>
      <c r="BY28" s="294" t="s">
        <v>469</v>
      </c>
      <c r="CA28" s="288" t="s">
        <v>469</v>
      </c>
      <c r="CB28" s="292" t="s">
        <v>469</v>
      </c>
      <c r="CC28" s="293" t="s">
        <v>469</v>
      </c>
      <c r="CD28" s="293" t="s">
        <v>469</v>
      </c>
      <c r="CE28" s="293" t="s">
        <v>469</v>
      </c>
      <c r="CF28" s="293" t="s">
        <v>469</v>
      </c>
      <c r="CG28" s="294" t="s">
        <v>469</v>
      </c>
      <c r="CI28" s="288">
        <v>912019.3637613906</v>
      </c>
      <c r="CJ28" s="292" t="s">
        <v>469</v>
      </c>
      <c r="CK28" s="293" t="e">
        <v>#REF!</v>
      </c>
      <c r="CL28" s="293" t="s">
        <v>469</v>
      </c>
      <c r="CM28" s="293" t="s">
        <v>469</v>
      </c>
      <c r="CN28" s="293" t="s">
        <v>469</v>
      </c>
      <c r="CO28" s="294" t="s">
        <v>469</v>
      </c>
      <c r="CQ28" s="295" t="e">
        <v>#REF!</v>
      </c>
      <c r="CR28" s="209" t="e">
        <v>#REF!</v>
      </c>
    </row>
    <row r="29" spans="2:96" ht="15.75" customHeight="1">
      <c r="B29" s="403"/>
      <c r="C29" s="415"/>
      <c r="D29" s="403"/>
      <c r="E29" s="425"/>
      <c r="F29" s="415"/>
      <c r="G29" s="401"/>
      <c r="H29" s="426"/>
      <c r="I29" s="324"/>
      <c r="J29" s="325"/>
      <c r="K29" s="210"/>
      <c r="M29" s="209" t="e">
        <v>#REF!</v>
      </c>
      <c r="O29" s="319"/>
      <c r="P29" s="279" t="s">
        <v>341</v>
      </c>
      <c r="Q29" s="244"/>
      <c r="R29" s="245"/>
      <c r="S29" s="320">
        <v>7548750</v>
      </c>
      <c r="T29" s="286">
        <v>1.8834771003374502</v>
      </c>
      <c r="U29" s="287">
        <v>14217897.761172326</v>
      </c>
      <c r="V29" s="316" t="s">
        <v>291</v>
      </c>
      <c r="W29" s="248" t="s">
        <v>280</v>
      </c>
      <c r="X29" s="271" t="s">
        <v>469</v>
      </c>
      <c r="Y29" s="271" t="e">
        <v>#REF!</v>
      </c>
      <c r="Z29" s="271" t="s">
        <v>469</v>
      </c>
      <c r="AA29" s="271" t="s">
        <v>469</v>
      </c>
      <c r="AB29" s="271" t="s">
        <v>469</v>
      </c>
      <c r="AC29" s="272" t="s">
        <v>469</v>
      </c>
      <c r="AE29" s="288" t="s">
        <v>469</v>
      </c>
      <c r="AF29" s="292" t="s">
        <v>469</v>
      </c>
      <c r="AG29" s="293" t="s">
        <v>469</v>
      </c>
      <c r="AH29" s="293" t="s">
        <v>469</v>
      </c>
      <c r="AI29" s="293" t="s">
        <v>469</v>
      </c>
      <c r="AJ29" s="293" t="s">
        <v>469</v>
      </c>
      <c r="AK29" s="294" t="s">
        <v>469</v>
      </c>
      <c r="AM29" s="288" t="s">
        <v>469</v>
      </c>
      <c r="AN29" s="292" t="s">
        <v>469</v>
      </c>
      <c r="AO29" s="293" t="s">
        <v>469</v>
      </c>
      <c r="AP29" s="293" t="s">
        <v>469</v>
      </c>
      <c r="AQ29" s="293" t="s">
        <v>469</v>
      </c>
      <c r="AR29" s="293" t="s">
        <v>469</v>
      </c>
      <c r="AS29" s="294" t="s">
        <v>469</v>
      </c>
      <c r="AU29" s="288" t="s">
        <v>469</v>
      </c>
      <c r="AV29" s="292" t="s">
        <v>469</v>
      </c>
      <c r="AW29" s="293" t="s">
        <v>469</v>
      </c>
      <c r="AX29" s="293" t="s">
        <v>469</v>
      </c>
      <c r="AY29" s="293" t="s">
        <v>469</v>
      </c>
      <c r="AZ29" s="293" t="s">
        <v>469</v>
      </c>
      <c r="BA29" s="294" t="s">
        <v>469</v>
      </c>
      <c r="BC29" s="288" t="s">
        <v>469</v>
      </c>
      <c r="BD29" s="292" t="s">
        <v>469</v>
      </c>
      <c r="BE29" s="293" t="s">
        <v>469</v>
      </c>
      <c r="BF29" s="293" t="s">
        <v>469</v>
      </c>
      <c r="BG29" s="293" t="s">
        <v>469</v>
      </c>
      <c r="BH29" s="293" t="s">
        <v>469</v>
      </c>
      <c r="BI29" s="294" t="s">
        <v>469</v>
      </c>
      <c r="BK29" s="288" t="s">
        <v>469</v>
      </c>
      <c r="BL29" s="292" t="s">
        <v>469</v>
      </c>
      <c r="BM29" s="293" t="s">
        <v>469</v>
      </c>
      <c r="BN29" s="293" t="s">
        <v>469</v>
      </c>
      <c r="BO29" s="293" t="s">
        <v>469</v>
      </c>
      <c r="BP29" s="293" t="s">
        <v>469</v>
      </c>
      <c r="BQ29" s="294" t="s">
        <v>469</v>
      </c>
      <c r="BS29" s="288" t="s">
        <v>469</v>
      </c>
      <c r="BT29" s="292" t="s">
        <v>469</v>
      </c>
      <c r="BU29" s="293" t="s">
        <v>469</v>
      </c>
      <c r="BV29" s="293" t="s">
        <v>469</v>
      </c>
      <c r="BW29" s="293" t="s">
        <v>469</v>
      </c>
      <c r="BX29" s="293" t="s">
        <v>469</v>
      </c>
      <c r="BY29" s="294" t="s">
        <v>469</v>
      </c>
      <c r="CA29" s="288" t="s">
        <v>469</v>
      </c>
      <c r="CB29" s="292" t="s">
        <v>469</v>
      </c>
      <c r="CC29" s="293" t="s">
        <v>469</v>
      </c>
      <c r="CD29" s="293" t="s">
        <v>469</v>
      </c>
      <c r="CE29" s="293" t="s">
        <v>469</v>
      </c>
      <c r="CF29" s="293" t="s">
        <v>469</v>
      </c>
      <c r="CG29" s="294" t="s">
        <v>469</v>
      </c>
      <c r="CI29" s="288">
        <v>14217897.761172326</v>
      </c>
      <c r="CJ29" s="292" t="s">
        <v>469</v>
      </c>
      <c r="CK29" s="293" t="e">
        <v>#REF!</v>
      </c>
      <c r="CL29" s="293" t="s">
        <v>469</v>
      </c>
      <c r="CM29" s="293" t="s">
        <v>469</v>
      </c>
      <c r="CN29" s="293" t="s">
        <v>469</v>
      </c>
      <c r="CO29" s="294" t="s">
        <v>469</v>
      </c>
      <c r="CQ29" s="295" t="e">
        <v>#REF!</v>
      </c>
      <c r="CR29" s="209" t="e">
        <v>#REF!</v>
      </c>
    </row>
    <row r="30" spans="2:96" ht="15.75" customHeight="1">
      <c r="B30" s="403">
        <v>1000</v>
      </c>
      <c r="C30" s="415" t="s">
        <v>315</v>
      </c>
      <c r="D30" s="424">
        <v>0.06</v>
      </c>
      <c r="E30" s="425">
        <v>0</v>
      </c>
      <c r="F30" s="415"/>
      <c r="G30" s="352">
        <v>0.6295638998227158</v>
      </c>
      <c r="H30" s="348">
        <v>304227500</v>
      </c>
      <c r="I30" s="322">
        <v>0</v>
      </c>
      <c r="J30" s="323"/>
      <c r="K30" s="210"/>
      <c r="M30" s="209" t="e">
        <v>#REF!</v>
      </c>
      <c r="O30" s="319">
        <v>2600</v>
      </c>
      <c r="P30" s="279" t="s">
        <v>342</v>
      </c>
      <c r="Q30" s="244"/>
      <c r="R30" s="245"/>
      <c r="S30" s="320">
        <v>0</v>
      </c>
      <c r="T30" s="286">
        <v>1.8834771003374502</v>
      </c>
      <c r="U30" s="287">
        <v>0</v>
      </c>
      <c r="V30" s="316" t="s">
        <v>291</v>
      </c>
      <c r="W30" s="248" t="s">
        <v>280</v>
      </c>
      <c r="X30" s="271" t="s">
        <v>469</v>
      </c>
      <c r="Y30" s="271" t="e">
        <v>#REF!</v>
      </c>
      <c r="Z30" s="271" t="s">
        <v>469</v>
      </c>
      <c r="AA30" s="271" t="s">
        <v>469</v>
      </c>
      <c r="AB30" s="271" t="s">
        <v>469</v>
      </c>
      <c r="AC30" s="272" t="s">
        <v>469</v>
      </c>
      <c r="AE30" s="288" t="s">
        <v>469</v>
      </c>
      <c r="AF30" s="292" t="s">
        <v>469</v>
      </c>
      <c r="AG30" s="293" t="s">
        <v>469</v>
      </c>
      <c r="AH30" s="293" t="s">
        <v>469</v>
      </c>
      <c r="AI30" s="293" t="s">
        <v>469</v>
      </c>
      <c r="AJ30" s="293" t="s">
        <v>469</v>
      </c>
      <c r="AK30" s="294" t="s">
        <v>469</v>
      </c>
      <c r="AM30" s="288" t="s">
        <v>469</v>
      </c>
      <c r="AN30" s="292" t="s">
        <v>469</v>
      </c>
      <c r="AO30" s="293" t="s">
        <v>469</v>
      </c>
      <c r="AP30" s="293" t="s">
        <v>469</v>
      </c>
      <c r="AQ30" s="293" t="s">
        <v>469</v>
      </c>
      <c r="AR30" s="293" t="s">
        <v>469</v>
      </c>
      <c r="AS30" s="294" t="s">
        <v>469</v>
      </c>
      <c r="AU30" s="288" t="s">
        <v>469</v>
      </c>
      <c r="AV30" s="292" t="s">
        <v>469</v>
      </c>
      <c r="AW30" s="293" t="s">
        <v>469</v>
      </c>
      <c r="AX30" s="293" t="s">
        <v>469</v>
      </c>
      <c r="AY30" s="293" t="s">
        <v>469</v>
      </c>
      <c r="AZ30" s="293" t="s">
        <v>469</v>
      </c>
      <c r="BA30" s="294" t="s">
        <v>469</v>
      </c>
      <c r="BC30" s="288" t="s">
        <v>469</v>
      </c>
      <c r="BD30" s="292" t="s">
        <v>469</v>
      </c>
      <c r="BE30" s="293" t="s">
        <v>469</v>
      </c>
      <c r="BF30" s="293" t="s">
        <v>469</v>
      </c>
      <c r="BG30" s="293" t="s">
        <v>469</v>
      </c>
      <c r="BH30" s="293" t="s">
        <v>469</v>
      </c>
      <c r="BI30" s="294" t="s">
        <v>469</v>
      </c>
      <c r="BK30" s="288" t="s">
        <v>469</v>
      </c>
      <c r="BL30" s="292" t="s">
        <v>469</v>
      </c>
      <c r="BM30" s="293" t="s">
        <v>469</v>
      </c>
      <c r="BN30" s="293" t="s">
        <v>469</v>
      </c>
      <c r="BO30" s="293" t="s">
        <v>469</v>
      </c>
      <c r="BP30" s="293" t="s">
        <v>469</v>
      </c>
      <c r="BQ30" s="294" t="s">
        <v>469</v>
      </c>
      <c r="BS30" s="288" t="s">
        <v>469</v>
      </c>
      <c r="BT30" s="292" t="s">
        <v>469</v>
      </c>
      <c r="BU30" s="293" t="s">
        <v>469</v>
      </c>
      <c r="BV30" s="293" t="s">
        <v>469</v>
      </c>
      <c r="BW30" s="293" t="s">
        <v>469</v>
      </c>
      <c r="BX30" s="293" t="s">
        <v>469</v>
      </c>
      <c r="BY30" s="294" t="s">
        <v>469</v>
      </c>
      <c r="CA30" s="288" t="s">
        <v>469</v>
      </c>
      <c r="CB30" s="292" t="s">
        <v>469</v>
      </c>
      <c r="CC30" s="293" t="s">
        <v>469</v>
      </c>
      <c r="CD30" s="293" t="s">
        <v>469</v>
      </c>
      <c r="CE30" s="293" t="s">
        <v>469</v>
      </c>
      <c r="CF30" s="293" t="s">
        <v>469</v>
      </c>
      <c r="CG30" s="294" t="s">
        <v>469</v>
      </c>
      <c r="CI30" s="288">
        <v>0</v>
      </c>
      <c r="CJ30" s="292" t="s">
        <v>469</v>
      </c>
      <c r="CK30" s="293" t="e">
        <v>#REF!</v>
      </c>
      <c r="CL30" s="293" t="s">
        <v>469</v>
      </c>
      <c r="CM30" s="293" t="s">
        <v>469</v>
      </c>
      <c r="CN30" s="293" t="s">
        <v>469</v>
      </c>
      <c r="CO30" s="294" t="s">
        <v>469</v>
      </c>
      <c r="CQ30" s="295" t="e">
        <v>#REF!</v>
      </c>
      <c r="CR30" s="209" t="e">
        <v>#REF!</v>
      </c>
    </row>
    <row r="31" spans="2:96" ht="15.75" customHeight="1">
      <c r="B31" s="403"/>
      <c r="C31" s="415"/>
      <c r="D31" s="403"/>
      <c r="E31" s="425"/>
      <c r="F31" s="415"/>
      <c r="G31" s="401"/>
      <c r="H31" s="426"/>
      <c r="I31" s="324"/>
      <c r="J31" s="326"/>
      <c r="K31" s="210"/>
      <c r="M31" s="209" t="e">
        <v>#REF!</v>
      </c>
      <c r="O31" s="319">
        <v>2400</v>
      </c>
      <c r="P31" s="279" t="s">
        <v>343</v>
      </c>
      <c r="Q31" s="244"/>
      <c r="R31" s="245"/>
      <c r="S31" s="320">
        <v>0</v>
      </c>
      <c r="T31" s="286">
        <v>1.8834771003374502</v>
      </c>
      <c r="U31" s="287">
        <v>0</v>
      </c>
      <c r="V31" s="316" t="s">
        <v>291</v>
      </c>
      <c r="W31" s="248" t="s">
        <v>281</v>
      </c>
      <c r="X31" s="271" t="s">
        <v>469</v>
      </c>
      <c r="Y31" s="271" t="s">
        <v>469</v>
      </c>
      <c r="Z31" s="271" t="e">
        <v>#REF!</v>
      </c>
      <c r="AA31" s="271" t="s">
        <v>469</v>
      </c>
      <c r="AB31" s="271" t="s">
        <v>469</v>
      </c>
      <c r="AC31" s="272" t="s">
        <v>469</v>
      </c>
      <c r="AE31" s="288" t="s">
        <v>469</v>
      </c>
      <c r="AF31" s="292" t="s">
        <v>469</v>
      </c>
      <c r="AG31" s="293" t="s">
        <v>469</v>
      </c>
      <c r="AH31" s="293" t="s">
        <v>469</v>
      </c>
      <c r="AI31" s="293" t="s">
        <v>469</v>
      </c>
      <c r="AJ31" s="293" t="s">
        <v>469</v>
      </c>
      <c r="AK31" s="294" t="s">
        <v>469</v>
      </c>
      <c r="AM31" s="288" t="s">
        <v>469</v>
      </c>
      <c r="AN31" s="292" t="s">
        <v>469</v>
      </c>
      <c r="AO31" s="293" t="s">
        <v>469</v>
      </c>
      <c r="AP31" s="293" t="s">
        <v>469</v>
      </c>
      <c r="AQ31" s="293" t="s">
        <v>469</v>
      </c>
      <c r="AR31" s="293" t="s">
        <v>469</v>
      </c>
      <c r="AS31" s="294" t="s">
        <v>469</v>
      </c>
      <c r="AU31" s="288" t="s">
        <v>469</v>
      </c>
      <c r="AV31" s="292" t="s">
        <v>469</v>
      </c>
      <c r="AW31" s="293" t="s">
        <v>469</v>
      </c>
      <c r="AX31" s="293" t="s">
        <v>469</v>
      </c>
      <c r="AY31" s="293" t="s">
        <v>469</v>
      </c>
      <c r="AZ31" s="293" t="s">
        <v>469</v>
      </c>
      <c r="BA31" s="294" t="s">
        <v>469</v>
      </c>
      <c r="BC31" s="288" t="s">
        <v>469</v>
      </c>
      <c r="BD31" s="292" t="s">
        <v>469</v>
      </c>
      <c r="BE31" s="293" t="s">
        <v>469</v>
      </c>
      <c r="BF31" s="293" t="s">
        <v>469</v>
      </c>
      <c r="BG31" s="293" t="s">
        <v>469</v>
      </c>
      <c r="BH31" s="293" t="s">
        <v>469</v>
      </c>
      <c r="BI31" s="294" t="s">
        <v>469</v>
      </c>
      <c r="BK31" s="288" t="s">
        <v>469</v>
      </c>
      <c r="BL31" s="292" t="s">
        <v>469</v>
      </c>
      <c r="BM31" s="293" t="s">
        <v>469</v>
      </c>
      <c r="BN31" s="293" t="s">
        <v>469</v>
      </c>
      <c r="BO31" s="293" t="s">
        <v>469</v>
      </c>
      <c r="BP31" s="293" t="s">
        <v>469</v>
      </c>
      <c r="BQ31" s="294" t="s">
        <v>469</v>
      </c>
      <c r="BS31" s="288" t="s">
        <v>469</v>
      </c>
      <c r="BT31" s="292" t="s">
        <v>469</v>
      </c>
      <c r="BU31" s="293" t="s">
        <v>469</v>
      </c>
      <c r="BV31" s="293" t="s">
        <v>469</v>
      </c>
      <c r="BW31" s="293" t="s">
        <v>469</v>
      </c>
      <c r="BX31" s="293" t="s">
        <v>469</v>
      </c>
      <c r="BY31" s="294" t="s">
        <v>469</v>
      </c>
      <c r="CA31" s="288" t="s">
        <v>469</v>
      </c>
      <c r="CB31" s="292" t="s">
        <v>469</v>
      </c>
      <c r="CC31" s="293" t="s">
        <v>469</v>
      </c>
      <c r="CD31" s="293" t="s">
        <v>469</v>
      </c>
      <c r="CE31" s="293" t="s">
        <v>469</v>
      </c>
      <c r="CF31" s="293" t="s">
        <v>469</v>
      </c>
      <c r="CG31" s="294" t="s">
        <v>469</v>
      </c>
      <c r="CI31" s="288">
        <v>0</v>
      </c>
      <c r="CJ31" s="292" t="s">
        <v>469</v>
      </c>
      <c r="CK31" s="293" t="s">
        <v>469</v>
      </c>
      <c r="CL31" s="293" t="e">
        <v>#REF!</v>
      </c>
      <c r="CM31" s="293" t="s">
        <v>469</v>
      </c>
      <c r="CN31" s="293" t="s">
        <v>469</v>
      </c>
      <c r="CO31" s="294" t="s">
        <v>469</v>
      </c>
      <c r="CQ31" s="295" t="e">
        <v>#REF!</v>
      </c>
      <c r="CR31" s="209" t="e">
        <v>#REF!</v>
      </c>
    </row>
    <row r="32" spans="2:96" ht="15.75" customHeight="1">
      <c r="B32" s="403">
        <v>2000</v>
      </c>
      <c r="C32" s="415" t="s">
        <v>333</v>
      </c>
      <c r="D32" s="424">
        <v>0.06</v>
      </c>
      <c r="E32" s="425">
        <v>0</v>
      </c>
      <c r="F32" s="415">
        <v>0.25952054794520546</v>
      </c>
      <c r="G32" s="352">
        <v>0.023522702087368202</v>
      </c>
      <c r="H32" s="348">
        <v>11367000</v>
      </c>
      <c r="I32" s="322">
        <v>0</v>
      </c>
      <c r="J32" s="326"/>
      <c r="K32" s="210"/>
      <c r="M32" s="209"/>
      <c r="O32" s="319"/>
      <c r="P32" s="279"/>
      <c r="Q32" s="244"/>
      <c r="R32" s="245"/>
      <c r="S32" s="320"/>
      <c r="T32" s="327"/>
      <c r="U32" s="328"/>
      <c r="W32" s="248"/>
      <c r="X32" s="271" t="s">
        <v>469</v>
      </c>
      <c r="Y32" s="271" t="s">
        <v>469</v>
      </c>
      <c r="Z32" s="271" t="s">
        <v>469</v>
      </c>
      <c r="AA32" s="271" t="s">
        <v>469</v>
      </c>
      <c r="AB32" s="271" t="s">
        <v>469</v>
      </c>
      <c r="AC32" s="272" t="s">
        <v>469</v>
      </c>
      <c r="AE32" s="288" t="s">
        <v>469</v>
      </c>
      <c r="AF32" s="292" t="s">
        <v>469</v>
      </c>
      <c r="AG32" s="293" t="s">
        <v>469</v>
      </c>
      <c r="AH32" s="293" t="s">
        <v>469</v>
      </c>
      <c r="AI32" s="293" t="s">
        <v>469</v>
      </c>
      <c r="AJ32" s="293" t="s">
        <v>469</v>
      </c>
      <c r="AK32" s="294" t="s">
        <v>469</v>
      </c>
      <c r="AM32" s="288" t="s">
        <v>469</v>
      </c>
      <c r="AN32" s="292" t="s">
        <v>469</v>
      </c>
      <c r="AO32" s="293" t="s">
        <v>469</v>
      </c>
      <c r="AP32" s="293" t="s">
        <v>469</v>
      </c>
      <c r="AQ32" s="293" t="s">
        <v>469</v>
      </c>
      <c r="AR32" s="293" t="s">
        <v>469</v>
      </c>
      <c r="AS32" s="294" t="s">
        <v>469</v>
      </c>
      <c r="AU32" s="288" t="s">
        <v>469</v>
      </c>
      <c r="AV32" s="292" t="s">
        <v>469</v>
      </c>
      <c r="AW32" s="293" t="s">
        <v>469</v>
      </c>
      <c r="AX32" s="293" t="s">
        <v>469</v>
      </c>
      <c r="AY32" s="293" t="s">
        <v>469</v>
      </c>
      <c r="AZ32" s="293" t="s">
        <v>469</v>
      </c>
      <c r="BA32" s="294" t="s">
        <v>469</v>
      </c>
      <c r="BC32" s="288" t="s">
        <v>469</v>
      </c>
      <c r="BD32" s="292" t="s">
        <v>469</v>
      </c>
      <c r="BE32" s="293" t="s">
        <v>469</v>
      </c>
      <c r="BF32" s="293" t="s">
        <v>469</v>
      </c>
      <c r="BG32" s="293" t="s">
        <v>469</v>
      </c>
      <c r="BH32" s="293" t="s">
        <v>469</v>
      </c>
      <c r="BI32" s="294" t="s">
        <v>469</v>
      </c>
      <c r="BK32" s="288" t="s">
        <v>469</v>
      </c>
      <c r="BL32" s="292" t="s">
        <v>469</v>
      </c>
      <c r="BM32" s="293" t="s">
        <v>469</v>
      </c>
      <c r="BN32" s="293" t="s">
        <v>469</v>
      </c>
      <c r="BO32" s="293" t="s">
        <v>469</v>
      </c>
      <c r="BP32" s="293" t="s">
        <v>469</v>
      </c>
      <c r="BQ32" s="294" t="s">
        <v>469</v>
      </c>
      <c r="BS32" s="288" t="s">
        <v>469</v>
      </c>
      <c r="BT32" s="292" t="s">
        <v>469</v>
      </c>
      <c r="BU32" s="293" t="s">
        <v>469</v>
      </c>
      <c r="BV32" s="293" t="s">
        <v>469</v>
      </c>
      <c r="BW32" s="293" t="s">
        <v>469</v>
      </c>
      <c r="BX32" s="293" t="s">
        <v>469</v>
      </c>
      <c r="BY32" s="294" t="s">
        <v>469</v>
      </c>
      <c r="CA32" s="288" t="s">
        <v>469</v>
      </c>
      <c r="CB32" s="292" t="s">
        <v>469</v>
      </c>
      <c r="CC32" s="293" t="s">
        <v>469</v>
      </c>
      <c r="CD32" s="293" t="s">
        <v>469</v>
      </c>
      <c r="CE32" s="293" t="s">
        <v>469</v>
      </c>
      <c r="CF32" s="293" t="s">
        <v>469</v>
      </c>
      <c r="CG32" s="294" t="s">
        <v>469</v>
      </c>
      <c r="CI32" s="288" t="s">
        <v>469</v>
      </c>
      <c r="CJ32" s="292" t="s">
        <v>469</v>
      </c>
      <c r="CK32" s="293" t="s">
        <v>469</v>
      </c>
      <c r="CL32" s="293" t="s">
        <v>469</v>
      </c>
      <c r="CM32" s="293" t="s">
        <v>469</v>
      </c>
      <c r="CN32" s="293" t="s">
        <v>469</v>
      </c>
      <c r="CO32" s="294" t="s">
        <v>469</v>
      </c>
      <c r="CQ32" s="295"/>
      <c r="CR32" s="209" t="s">
        <v>469</v>
      </c>
    </row>
    <row r="33" spans="2:99" ht="15.75" customHeight="1">
      <c r="B33" s="403"/>
      <c r="C33" s="415"/>
      <c r="D33" s="403"/>
      <c r="E33" s="425"/>
      <c r="F33" s="415"/>
      <c r="G33" s="352"/>
      <c r="H33" s="426"/>
      <c r="I33" s="324"/>
      <c r="J33" s="309"/>
      <c r="K33" s="210"/>
      <c r="M33" s="263" t="e">
        <v>#REF!</v>
      </c>
      <c r="N33" s="207" t="s">
        <v>470</v>
      </c>
      <c r="O33" s="264">
        <v>3000</v>
      </c>
      <c r="P33" s="302" t="s">
        <v>344</v>
      </c>
      <c r="Q33" s="244"/>
      <c r="R33" s="267"/>
      <c r="S33" s="268">
        <v>12539000</v>
      </c>
      <c r="T33" s="268"/>
      <c r="U33" s="269">
        <v>13978818.283166109</v>
      </c>
      <c r="W33" s="248"/>
      <c r="X33" s="271" t="s">
        <v>469</v>
      </c>
      <c r="Y33" s="271" t="s">
        <v>469</v>
      </c>
      <c r="Z33" s="271" t="s">
        <v>469</v>
      </c>
      <c r="AA33" s="271" t="s">
        <v>469</v>
      </c>
      <c r="AB33" s="271" t="s">
        <v>469</v>
      </c>
      <c r="AC33" s="272" t="s">
        <v>469</v>
      </c>
      <c r="AE33" s="288" t="s">
        <v>469</v>
      </c>
      <c r="AF33" s="292" t="s">
        <v>469</v>
      </c>
      <c r="AG33" s="293" t="s">
        <v>469</v>
      </c>
      <c r="AH33" s="293" t="s">
        <v>469</v>
      </c>
      <c r="AI33" s="293" t="s">
        <v>469</v>
      </c>
      <c r="AJ33" s="293" t="s">
        <v>469</v>
      </c>
      <c r="AK33" s="294" t="s">
        <v>469</v>
      </c>
      <c r="AM33" s="288" t="s">
        <v>469</v>
      </c>
      <c r="AN33" s="292" t="s">
        <v>469</v>
      </c>
      <c r="AO33" s="293" t="s">
        <v>469</v>
      </c>
      <c r="AP33" s="293" t="s">
        <v>469</v>
      </c>
      <c r="AQ33" s="293" t="s">
        <v>469</v>
      </c>
      <c r="AR33" s="293" t="s">
        <v>469</v>
      </c>
      <c r="AS33" s="294" t="s">
        <v>469</v>
      </c>
      <c r="AU33" s="288" t="s">
        <v>469</v>
      </c>
      <c r="AV33" s="292" t="s">
        <v>469</v>
      </c>
      <c r="AW33" s="293" t="s">
        <v>469</v>
      </c>
      <c r="AX33" s="293" t="s">
        <v>469</v>
      </c>
      <c r="AY33" s="293" t="s">
        <v>469</v>
      </c>
      <c r="AZ33" s="293" t="s">
        <v>469</v>
      </c>
      <c r="BA33" s="294" t="s">
        <v>469</v>
      </c>
      <c r="BC33" s="288" t="s">
        <v>469</v>
      </c>
      <c r="BD33" s="292" t="s">
        <v>469</v>
      </c>
      <c r="BE33" s="293" t="s">
        <v>469</v>
      </c>
      <c r="BF33" s="293" t="s">
        <v>469</v>
      </c>
      <c r="BG33" s="293" t="s">
        <v>469</v>
      </c>
      <c r="BH33" s="293" t="s">
        <v>469</v>
      </c>
      <c r="BI33" s="294" t="s">
        <v>469</v>
      </c>
      <c r="BK33" s="288" t="s">
        <v>469</v>
      </c>
      <c r="BL33" s="292" t="s">
        <v>469</v>
      </c>
      <c r="BM33" s="293" t="s">
        <v>469</v>
      </c>
      <c r="BN33" s="293" t="s">
        <v>469</v>
      </c>
      <c r="BO33" s="293" t="s">
        <v>469</v>
      </c>
      <c r="BP33" s="293" t="s">
        <v>469</v>
      </c>
      <c r="BQ33" s="294" t="s">
        <v>469</v>
      </c>
      <c r="BS33" s="288" t="s">
        <v>469</v>
      </c>
      <c r="BT33" s="292" t="s">
        <v>469</v>
      </c>
      <c r="BU33" s="293" t="s">
        <v>469</v>
      </c>
      <c r="BV33" s="293" t="s">
        <v>469</v>
      </c>
      <c r="BW33" s="293" t="s">
        <v>469</v>
      </c>
      <c r="BX33" s="293" t="s">
        <v>469</v>
      </c>
      <c r="BY33" s="294" t="s">
        <v>469</v>
      </c>
      <c r="CA33" s="288" t="s">
        <v>469</v>
      </c>
      <c r="CB33" s="292" t="s">
        <v>469</v>
      </c>
      <c r="CC33" s="293" t="s">
        <v>469</v>
      </c>
      <c r="CD33" s="293" t="s">
        <v>469</v>
      </c>
      <c r="CE33" s="293" t="s">
        <v>469</v>
      </c>
      <c r="CF33" s="293" t="s">
        <v>469</v>
      </c>
      <c r="CG33" s="294" t="s">
        <v>469</v>
      </c>
      <c r="CI33" s="288" t="s">
        <v>469</v>
      </c>
      <c r="CJ33" s="292" t="s">
        <v>469</v>
      </c>
      <c r="CK33" s="293" t="s">
        <v>469</v>
      </c>
      <c r="CL33" s="293" t="s">
        <v>469</v>
      </c>
      <c r="CM33" s="293" t="s">
        <v>469</v>
      </c>
      <c r="CN33" s="293" t="s">
        <v>469</v>
      </c>
      <c r="CO33" s="294" t="s">
        <v>469</v>
      </c>
      <c r="CQ33" s="277"/>
      <c r="CR33" s="209" t="s">
        <v>469</v>
      </c>
      <c r="CT33" s="207" t="s">
        <v>468</v>
      </c>
      <c r="CU33" s="278">
        <v>19452100</v>
      </c>
    </row>
    <row r="34" spans="2:96" ht="15.75" customHeight="1">
      <c r="B34" s="403">
        <v>3000</v>
      </c>
      <c r="C34" s="415" t="s">
        <v>256</v>
      </c>
      <c r="D34" s="424">
        <v>0.05</v>
      </c>
      <c r="E34" s="425">
        <v>0</v>
      </c>
      <c r="F34" s="415"/>
      <c r="G34" s="352">
        <v>0.03298393143050601</v>
      </c>
      <c r="H34" s="348">
        <v>15939000</v>
      </c>
      <c r="I34" s="322">
        <v>0</v>
      </c>
      <c r="J34" s="326"/>
      <c r="K34" s="210"/>
      <c r="M34" s="209" t="e">
        <v>#REF!</v>
      </c>
      <c r="O34" s="264">
        <v>3000</v>
      </c>
      <c r="P34" s="302" t="s">
        <v>345</v>
      </c>
      <c r="Q34" s="244"/>
      <c r="R34" s="245"/>
      <c r="S34" s="285">
        <v>0</v>
      </c>
      <c r="T34" s="286">
        <v>1.1148272017837235</v>
      </c>
      <c r="U34" s="287">
        <v>0</v>
      </c>
      <c r="V34" s="208" t="s">
        <v>286</v>
      </c>
      <c r="W34" s="248" t="s">
        <v>280</v>
      </c>
      <c r="X34" s="271" t="s">
        <v>469</v>
      </c>
      <c r="Y34" s="271" t="e">
        <v>#REF!</v>
      </c>
      <c r="Z34" s="271" t="s">
        <v>469</v>
      </c>
      <c r="AA34" s="271" t="s">
        <v>469</v>
      </c>
      <c r="AB34" s="271" t="s">
        <v>469</v>
      </c>
      <c r="AC34" s="272" t="s">
        <v>469</v>
      </c>
      <c r="AE34" s="288" t="s">
        <v>469</v>
      </c>
      <c r="AF34" s="292" t="s">
        <v>469</v>
      </c>
      <c r="AG34" s="293" t="s">
        <v>469</v>
      </c>
      <c r="AH34" s="293" t="s">
        <v>469</v>
      </c>
      <c r="AI34" s="293" t="s">
        <v>469</v>
      </c>
      <c r="AJ34" s="293" t="s">
        <v>469</v>
      </c>
      <c r="AK34" s="294" t="s">
        <v>469</v>
      </c>
      <c r="AM34" s="288" t="s">
        <v>469</v>
      </c>
      <c r="AN34" s="292" t="s">
        <v>469</v>
      </c>
      <c r="AO34" s="293" t="s">
        <v>469</v>
      </c>
      <c r="AP34" s="293" t="s">
        <v>469</v>
      </c>
      <c r="AQ34" s="293" t="s">
        <v>469</v>
      </c>
      <c r="AR34" s="293" t="s">
        <v>469</v>
      </c>
      <c r="AS34" s="294" t="s">
        <v>469</v>
      </c>
      <c r="AU34" s="288">
        <v>0</v>
      </c>
      <c r="AV34" s="292" t="s">
        <v>469</v>
      </c>
      <c r="AW34" s="293" t="e">
        <v>#REF!</v>
      </c>
      <c r="AX34" s="293" t="s">
        <v>469</v>
      </c>
      <c r="AY34" s="293" t="s">
        <v>469</v>
      </c>
      <c r="AZ34" s="293" t="s">
        <v>469</v>
      </c>
      <c r="BA34" s="294" t="s">
        <v>469</v>
      </c>
      <c r="BC34" s="288" t="s">
        <v>469</v>
      </c>
      <c r="BD34" s="292" t="s">
        <v>469</v>
      </c>
      <c r="BE34" s="293" t="s">
        <v>469</v>
      </c>
      <c r="BF34" s="293" t="s">
        <v>469</v>
      </c>
      <c r="BG34" s="293" t="s">
        <v>469</v>
      </c>
      <c r="BH34" s="293" t="s">
        <v>469</v>
      </c>
      <c r="BI34" s="294" t="s">
        <v>469</v>
      </c>
      <c r="BK34" s="288" t="s">
        <v>469</v>
      </c>
      <c r="BL34" s="292" t="s">
        <v>469</v>
      </c>
      <c r="BM34" s="293" t="s">
        <v>469</v>
      </c>
      <c r="BN34" s="293" t="s">
        <v>469</v>
      </c>
      <c r="BO34" s="293" t="s">
        <v>469</v>
      </c>
      <c r="BP34" s="293" t="s">
        <v>469</v>
      </c>
      <c r="BQ34" s="294" t="s">
        <v>469</v>
      </c>
      <c r="BS34" s="288" t="s">
        <v>469</v>
      </c>
      <c r="BT34" s="292" t="s">
        <v>469</v>
      </c>
      <c r="BU34" s="293" t="s">
        <v>469</v>
      </c>
      <c r="BV34" s="293" t="s">
        <v>469</v>
      </c>
      <c r="BW34" s="293" t="s">
        <v>469</v>
      </c>
      <c r="BX34" s="293" t="s">
        <v>469</v>
      </c>
      <c r="BY34" s="294" t="s">
        <v>469</v>
      </c>
      <c r="CA34" s="288" t="s">
        <v>469</v>
      </c>
      <c r="CB34" s="292" t="s">
        <v>469</v>
      </c>
      <c r="CC34" s="293" t="s">
        <v>469</v>
      </c>
      <c r="CD34" s="293" t="s">
        <v>469</v>
      </c>
      <c r="CE34" s="293" t="s">
        <v>469</v>
      </c>
      <c r="CF34" s="293" t="s">
        <v>469</v>
      </c>
      <c r="CG34" s="294" t="s">
        <v>469</v>
      </c>
      <c r="CI34" s="288" t="s">
        <v>469</v>
      </c>
      <c r="CJ34" s="292" t="s">
        <v>469</v>
      </c>
      <c r="CK34" s="293" t="s">
        <v>469</v>
      </c>
      <c r="CL34" s="293" t="s">
        <v>469</v>
      </c>
      <c r="CM34" s="293" t="s">
        <v>469</v>
      </c>
      <c r="CN34" s="293" t="s">
        <v>469</v>
      </c>
      <c r="CO34" s="294" t="s">
        <v>469</v>
      </c>
      <c r="CQ34" s="295" t="e">
        <v>#REF!</v>
      </c>
      <c r="CR34" s="209" t="e">
        <v>#REF!</v>
      </c>
    </row>
    <row r="35" spans="2:96" ht="15.75" customHeight="1">
      <c r="B35" s="403"/>
      <c r="C35" s="415"/>
      <c r="D35" s="424"/>
      <c r="E35" s="425"/>
      <c r="F35" s="415"/>
      <c r="G35" s="352"/>
      <c r="H35" s="348"/>
      <c r="I35" s="322"/>
      <c r="J35" s="326"/>
      <c r="K35" s="210"/>
      <c r="M35" s="209"/>
      <c r="O35" s="264"/>
      <c r="P35" s="302"/>
      <c r="Q35" s="244"/>
      <c r="R35" s="245"/>
      <c r="S35" s="285"/>
      <c r="T35" s="286"/>
      <c r="U35" s="287"/>
      <c r="W35" s="248"/>
      <c r="X35" s="271"/>
      <c r="Y35" s="271"/>
      <c r="Z35" s="271"/>
      <c r="AA35" s="271"/>
      <c r="AB35" s="271"/>
      <c r="AC35" s="272"/>
      <c r="AE35" s="288"/>
      <c r="AF35" s="292"/>
      <c r="AG35" s="293"/>
      <c r="AH35" s="293"/>
      <c r="AI35" s="293"/>
      <c r="AJ35" s="293"/>
      <c r="AK35" s="294"/>
      <c r="AM35" s="288"/>
      <c r="AN35" s="292"/>
      <c r="AO35" s="293"/>
      <c r="AP35" s="293"/>
      <c r="AQ35" s="293"/>
      <c r="AR35" s="293"/>
      <c r="AS35" s="294"/>
      <c r="AU35" s="288"/>
      <c r="AV35" s="292"/>
      <c r="AW35" s="293"/>
      <c r="AX35" s="293"/>
      <c r="AY35" s="293"/>
      <c r="AZ35" s="293"/>
      <c r="BA35" s="294"/>
      <c r="BC35" s="288"/>
      <c r="BD35" s="292"/>
      <c r="BE35" s="293"/>
      <c r="BF35" s="293"/>
      <c r="BG35" s="293"/>
      <c r="BH35" s="293"/>
      <c r="BI35" s="294"/>
      <c r="BK35" s="288"/>
      <c r="BL35" s="292"/>
      <c r="BM35" s="293"/>
      <c r="BN35" s="293"/>
      <c r="BO35" s="293"/>
      <c r="BP35" s="293"/>
      <c r="BQ35" s="294"/>
      <c r="BS35" s="288"/>
      <c r="BT35" s="292"/>
      <c r="BU35" s="293"/>
      <c r="BV35" s="293"/>
      <c r="BW35" s="293"/>
      <c r="BX35" s="293"/>
      <c r="BY35" s="294"/>
      <c r="CA35" s="288"/>
      <c r="CB35" s="292"/>
      <c r="CC35" s="293"/>
      <c r="CD35" s="293"/>
      <c r="CE35" s="293"/>
      <c r="CF35" s="293"/>
      <c r="CG35" s="294"/>
      <c r="CI35" s="288"/>
      <c r="CJ35" s="292"/>
      <c r="CK35" s="293"/>
      <c r="CL35" s="293"/>
      <c r="CM35" s="293"/>
      <c r="CN35" s="293"/>
      <c r="CO35" s="294"/>
      <c r="CQ35" s="295"/>
      <c r="CR35" s="209"/>
    </row>
    <row r="36" spans="2:96" ht="15.75" customHeight="1">
      <c r="B36" s="403">
        <v>3000</v>
      </c>
      <c r="C36" s="415" t="s">
        <v>344</v>
      </c>
      <c r="D36" s="424">
        <v>0.05</v>
      </c>
      <c r="E36" s="425">
        <v>0</v>
      </c>
      <c r="F36" s="415">
        <v>0.3005936073059361</v>
      </c>
      <c r="G36" s="352">
        <v>0.027245526144302788</v>
      </c>
      <c r="H36" s="348">
        <v>13166000</v>
      </c>
      <c r="I36" s="322">
        <v>0</v>
      </c>
      <c r="J36" s="326"/>
      <c r="K36" s="210"/>
      <c r="M36" s="209" t="e">
        <v>#REF!</v>
      </c>
      <c r="O36" s="264">
        <v>3000</v>
      </c>
      <c r="P36" s="302" t="s">
        <v>345</v>
      </c>
      <c r="Q36" s="244"/>
      <c r="R36" s="245"/>
      <c r="S36" s="285">
        <v>35000</v>
      </c>
      <c r="T36" s="286">
        <v>1.1148272017837235</v>
      </c>
      <c r="U36" s="287">
        <v>39018.952062430326</v>
      </c>
      <c r="V36" s="208" t="s">
        <v>286</v>
      </c>
      <c r="W36" s="248" t="s">
        <v>280</v>
      </c>
      <c r="X36" s="271" t="s">
        <v>469</v>
      </c>
      <c r="Y36" s="271" t="e">
        <v>#REF!</v>
      </c>
      <c r="Z36" s="271" t="s">
        <v>469</v>
      </c>
      <c r="AA36" s="271" t="s">
        <v>469</v>
      </c>
      <c r="AB36" s="271" t="s">
        <v>469</v>
      </c>
      <c r="AC36" s="272" t="s">
        <v>469</v>
      </c>
      <c r="AE36" s="288" t="s">
        <v>469</v>
      </c>
      <c r="AF36" s="292" t="s">
        <v>469</v>
      </c>
      <c r="AG36" s="293" t="s">
        <v>469</v>
      </c>
      <c r="AH36" s="293" t="s">
        <v>469</v>
      </c>
      <c r="AI36" s="293" t="s">
        <v>469</v>
      </c>
      <c r="AJ36" s="293" t="s">
        <v>469</v>
      </c>
      <c r="AK36" s="294" t="s">
        <v>469</v>
      </c>
      <c r="AM36" s="288" t="s">
        <v>469</v>
      </c>
      <c r="AN36" s="292" t="s">
        <v>469</v>
      </c>
      <c r="AO36" s="293" t="s">
        <v>469</v>
      </c>
      <c r="AP36" s="293" t="s">
        <v>469</v>
      </c>
      <c r="AQ36" s="293" t="s">
        <v>469</v>
      </c>
      <c r="AR36" s="293" t="s">
        <v>469</v>
      </c>
      <c r="AS36" s="294" t="s">
        <v>469</v>
      </c>
      <c r="AU36" s="288">
        <v>39018.952062430326</v>
      </c>
      <c r="AV36" s="292" t="s">
        <v>469</v>
      </c>
      <c r="AW36" s="293" t="e">
        <v>#REF!</v>
      </c>
      <c r="AX36" s="293" t="s">
        <v>469</v>
      </c>
      <c r="AY36" s="293" t="s">
        <v>469</v>
      </c>
      <c r="AZ36" s="293" t="s">
        <v>469</v>
      </c>
      <c r="BA36" s="294" t="s">
        <v>469</v>
      </c>
      <c r="BC36" s="288" t="s">
        <v>469</v>
      </c>
      <c r="BD36" s="292" t="s">
        <v>469</v>
      </c>
      <c r="BE36" s="293" t="s">
        <v>469</v>
      </c>
      <c r="BF36" s="293" t="s">
        <v>469</v>
      </c>
      <c r="BG36" s="293" t="s">
        <v>469</v>
      </c>
      <c r="BH36" s="293" t="s">
        <v>469</v>
      </c>
      <c r="BI36" s="294" t="s">
        <v>469</v>
      </c>
      <c r="BK36" s="288" t="s">
        <v>469</v>
      </c>
      <c r="BL36" s="292" t="s">
        <v>469</v>
      </c>
      <c r="BM36" s="293" t="s">
        <v>469</v>
      </c>
      <c r="BN36" s="293" t="s">
        <v>469</v>
      </c>
      <c r="BO36" s="293" t="s">
        <v>469</v>
      </c>
      <c r="BP36" s="293" t="s">
        <v>469</v>
      </c>
      <c r="BQ36" s="294" t="s">
        <v>469</v>
      </c>
      <c r="BS36" s="288" t="s">
        <v>469</v>
      </c>
      <c r="BT36" s="292" t="s">
        <v>469</v>
      </c>
      <c r="BU36" s="293" t="s">
        <v>469</v>
      </c>
      <c r="BV36" s="293" t="s">
        <v>469</v>
      </c>
      <c r="BW36" s="293" t="s">
        <v>469</v>
      </c>
      <c r="BX36" s="293" t="s">
        <v>469</v>
      </c>
      <c r="BY36" s="294" t="s">
        <v>469</v>
      </c>
      <c r="CA36" s="288" t="s">
        <v>469</v>
      </c>
      <c r="CB36" s="292" t="s">
        <v>469</v>
      </c>
      <c r="CC36" s="293" t="s">
        <v>469</v>
      </c>
      <c r="CD36" s="293" t="s">
        <v>469</v>
      </c>
      <c r="CE36" s="293" t="s">
        <v>469</v>
      </c>
      <c r="CF36" s="293" t="s">
        <v>469</v>
      </c>
      <c r="CG36" s="294" t="s">
        <v>469</v>
      </c>
      <c r="CI36" s="288" t="s">
        <v>469</v>
      </c>
      <c r="CJ36" s="292" t="s">
        <v>469</v>
      </c>
      <c r="CK36" s="293" t="s">
        <v>469</v>
      </c>
      <c r="CL36" s="293" t="s">
        <v>469</v>
      </c>
      <c r="CM36" s="293" t="s">
        <v>469</v>
      </c>
      <c r="CN36" s="293" t="s">
        <v>469</v>
      </c>
      <c r="CO36" s="294" t="s">
        <v>469</v>
      </c>
      <c r="CQ36" s="295" t="e">
        <v>#REF!</v>
      </c>
      <c r="CR36" s="209" t="e">
        <v>#REF!</v>
      </c>
    </row>
    <row r="37" spans="2:96" ht="15.75" customHeight="1">
      <c r="B37" s="403"/>
      <c r="C37" s="415"/>
      <c r="D37" s="403"/>
      <c r="E37" s="425"/>
      <c r="F37" s="415"/>
      <c r="G37" s="352"/>
      <c r="H37" s="426"/>
      <c r="I37" s="324"/>
      <c r="J37" s="309"/>
      <c r="K37" s="210"/>
      <c r="L37" s="329"/>
      <c r="M37" s="209" t="e">
        <v>#REF!</v>
      </c>
      <c r="O37" s="330">
        <v>3100</v>
      </c>
      <c r="P37" s="331" t="s">
        <v>346</v>
      </c>
      <c r="Q37" s="332"/>
      <c r="R37" s="333"/>
      <c r="S37" s="334">
        <v>126000</v>
      </c>
      <c r="T37" s="286">
        <v>1.1148272017837235</v>
      </c>
      <c r="U37" s="287">
        <v>140468.22742474917</v>
      </c>
      <c r="V37" s="208" t="s">
        <v>285</v>
      </c>
      <c r="W37" s="248" t="s">
        <v>283</v>
      </c>
      <c r="X37" s="271" t="s">
        <v>469</v>
      </c>
      <c r="Y37" s="271" t="s">
        <v>469</v>
      </c>
      <c r="Z37" s="271" t="s">
        <v>469</v>
      </c>
      <c r="AA37" s="271" t="s">
        <v>469</v>
      </c>
      <c r="AB37" s="271" t="s">
        <v>469</v>
      </c>
      <c r="AC37" s="272" t="e">
        <v>#REF!</v>
      </c>
      <c r="AE37" s="288" t="s">
        <v>469</v>
      </c>
      <c r="AF37" s="292" t="s">
        <v>469</v>
      </c>
      <c r="AG37" s="293" t="s">
        <v>469</v>
      </c>
      <c r="AH37" s="293" t="s">
        <v>469</v>
      </c>
      <c r="AI37" s="293" t="s">
        <v>469</v>
      </c>
      <c r="AJ37" s="293" t="s">
        <v>469</v>
      </c>
      <c r="AK37" s="294" t="s">
        <v>469</v>
      </c>
      <c r="AM37" s="288">
        <v>140468.22742474917</v>
      </c>
      <c r="AN37" s="292" t="s">
        <v>469</v>
      </c>
      <c r="AO37" s="293" t="s">
        <v>469</v>
      </c>
      <c r="AP37" s="293" t="s">
        <v>469</v>
      </c>
      <c r="AQ37" s="293" t="s">
        <v>469</v>
      </c>
      <c r="AR37" s="293" t="s">
        <v>469</v>
      </c>
      <c r="AS37" s="294" t="e">
        <v>#REF!</v>
      </c>
      <c r="AU37" s="288" t="s">
        <v>469</v>
      </c>
      <c r="AV37" s="292" t="s">
        <v>469</v>
      </c>
      <c r="AW37" s="293" t="s">
        <v>469</v>
      </c>
      <c r="AX37" s="293" t="s">
        <v>469</v>
      </c>
      <c r="AY37" s="293" t="s">
        <v>469</v>
      </c>
      <c r="AZ37" s="293" t="s">
        <v>469</v>
      </c>
      <c r="BA37" s="294" t="s">
        <v>469</v>
      </c>
      <c r="BC37" s="288" t="s">
        <v>469</v>
      </c>
      <c r="BD37" s="292" t="s">
        <v>469</v>
      </c>
      <c r="BE37" s="293" t="s">
        <v>469</v>
      </c>
      <c r="BF37" s="293" t="s">
        <v>469</v>
      </c>
      <c r="BG37" s="293" t="s">
        <v>469</v>
      </c>
      <c r="BH37" s="293" t="s">
        <v>469</v>
      </c>
      <c r="BI37" s="294" t="s">
        <v>469</v>
      </c>
      <c r="BK37" s="288" t="s">
        <v>469</v>
      </c>
      <c r="BL37" s="292" t="s">
        <v>469</v>
      </c>
      <c r="BM37" s="293" t="s">
        <v>469</v>
      </c>
      <c r="BN37" s="293" t="s">
        <v>469</v>
      </c>
      <c r="BO37" s="293" t="s">
        <v>469</v>
      </c>
      <c r="BP37" s="293" t="s">
        <v>469</v>
      </c>
      <c r="BQ37" s="294" t="s">
        <v>469</v>
      </c>
      <c r="BS37" s="288" t="s">
        <v>469</v>
      </c>
      <c r="BT37" s="292" t="s">
        <v>469</v>
      </c>
      <c r="BU37" s="293" t="s">
        <v>469</v>
      </c>
      <c r="BV37" s="293" t="s">
        <v>469</v>
      </c>
      <c r="BW37" s="293" t="s">
        <v>469</v>
      </c>
      <c r="BX37" s="293" t="s">
        <v>469</v>
      </c>
      <c r="BY37" s="294" t="s">
        <v>469</v>
      </c>
      <c r="CA37" s="288" t="s">
        <v>469</v>
      </c>
      <c r="CB37" s="292" t="s">
        <v>469</v>
      </c>
      <c r="CC37" s="293" t="s">
        <v>469</v>
      </c>
      <c r="CD37" s="293" t="s">
        <v>469</v>
      </c>
      <c r="CE37" s="293" t="s">
        <v>469</v>
      </c>
      <c r="CF37" s="293" t="s">
        <v>469</v>
      </c>
      <c r="CG37" s="294" t="s">
        <v>469</v>
      </c>
      <c r="CI37" s="288" t="s">
        <v>469</v>
      </c>
      <c r="CJ37" s="292" t="s">
        <v>469</v>
      </c>
      <c r="CK37" s="293" t="s">
        <v>469</v>
      </c>
      <c r="CL37" s="293" t="s">
        <v>469</v>
      </c>
      <c r="CM37" s="293" t="s">
        <v>469</v>
      </c>
      <c r="CN37" s="293" t="s">
        <v>469</v>
      </c>
      <c r="CO37" s="294" t="s">
        <v>469</v>
      </c>
      <c r="CQ37" s="295" t="e">
        <v>#REF!</v>
      </c>
      <c r="CR37" s="209" t="e">
        <v>#REF!</v>
      </c>
    </row>
    <row r="38" spans="2:96" ht="15.75" customHeight="1">
      <c r="B38" s="403">
        <v>4000</v>
      </c>
      <c r="C38" s="415" t="s">
        <v>347</v>
      </c>
      <c r="D38" s="424">
        <v>0.05</v>
      </c>
      <c r="E38" s="425">
        <v>0</v>
      </c>
      <c r="F38" s="415">
        <v>0.31111872146118724</v>
      </c>
      <c r="G38" s="352">
        <v>0.02819951274255006</v>
      </c>
      <c r="H38" s="348">
        <v>13627000</v>
      </c>
      <c r="I38" s="322">
        <v>0</v>
      </c>
      <c r="J38" s="326"/>
      <c r="K38" s="210"/>
      <c r="M38" s="209" t="e">
        <v>#REF!</v>
      </c>
      <c r="O38" s="310">
        <v>3200</v>
      </c>
      <c r="P38" s="335" t="s">
        <v>348</v>
      </c>
      <c r="Q38" s="336"/>
      <c r="R38" s="337"/>
      <c r="S38" s="338">
        <v>360000</v>
      </c>
      <c r="T38" s="286">
        <v>1.1148272017837235</v>
      </c>
      <c r="U38" s="287">
        <v>401337.79264214047</v>
      </c>
      <c r="V38" s="208" t="s">
        <v>287</v>
      </c>
      <c r="W38" s="248" t="s">
        <v>282</v>
      </c>
      <c r="X38" s="271" t="s">
        <v>469</v>
      </c>
      <c r="Y38" s="271" t="s">
        <v>469</v>
      </c>
      <c r="Z38" s="271" t="s">
        <v>469</v>
      </c>
      <c r="AA38" s="271" t="s">
        <v>469</v>
      </c>
      <c r="AB38" s="271" t="e">
        <v>#REF!</v>
      </c>
      <c r="AC38" s="272" t="s">
        <v>469</v>
      </c>
      <c r="AE38" s="288" t="s">
        <v>469</v>
      </c>
      <c r="AF38" s="292" t="s">
        <v>469</v>
      </c>
      <c r="AG38" s="293" t="s">
        <v>469</v>
      </c>
      <c r="AH38" s="293" t="s">
        <v>469</v>
      </c>
      <c r="AI38" s="293" t="s">
        <v>469</v>
      </c>
      <c r="AJ38" s="293" t="s">
        <v>469</v>
      </c>
      <c r="AK38" s="294" t="s">
        <v>469</v>
      </c>
      <c r="AM38" s="288" t="s">
        <v>469</v>
      </c>
      <c r="AN38" s="292" t="s">
        <v>469</v>
      </c>
      <c r="AO38" s="293" t="s">
        <v>469</v>
      </c>
      <c r="AP38" s="293" t="s">
        <v>469</v>
      </c>
      <c r="AQ38" s="293" t="s">
        <v>469</v>
      </c>
      <c r="AR38" s="293" t="s">
        <v>469</v>
      </c>
      <c r="AS38" s="294" t="s">
        <v>469</v>
      </c>
      <c r="AU38" s="288" t="s">
        <v>469</v>
      </c>
      <c r="AV38" s="292" t="s">
        <v>469</v>
      </c>
      <c r="AW38" s="293" t="s">
        <v>469</v>
      </c>
      <c r="AX38" s="293" t="s">
        <v>469</v>
      </c>
      <c r="AY38" s="293" t="s">
        <v>469</v>
      </c>
      <c r="AZ38" s="293" t="s">
        <v>469</v>
      </c>
      <c r="BA38" s="294" t="s">
        <v>469</v>
      </c>
      <c r="BC38" s="288">
        <v>401337.79264214047</v>
      </c>
      <c r="BD38" s="292" t="s">
        <v>469</v>
      </c>
      <c r="BE38" s="293" t="s">
        <v>469</v>
      </c>
      <c r="BF38" s="293" t="s">
        <v>469</v>
      </c>
      <c r="BG38" s="293" t="s">
        <v>469</v>
      </c>
      <c r="BH38" s="293" t="e">
        <v>#REF!</v>
      </c>
      <c r="BI38" s="294" t="s">
        <v>469</v>
      </c>
      <c r="BK38" s="288" t="s">
        <v>469</v>
      </c>
      <c r="BL38" s="292" t="s">
        <v>469</v>
      </c>
      <c r="BM38" s="293" t="s">
        <v>469</v>
      </c>
      <c r="BN38" s="293" t="s">
        <v>469</v>
      </c>
      <c r="BO38" s="293" t="s">
        <v>469</v>
      </c>
      <c r="BP38" s="293" t="s">
        <v>469</v>
      </c>
      <c r="BQ38" s="294" t="s">
        <v>469</v>
      </c>
      <c r="BS38" s="288" t="s">
        <v>469</v>
      </c>
      <c r="BT38" s="292" t="s">
        <v>469</v>
      </c>
      <c r="BU38" s="293" t="s">
        <v>469</v>
      </c>
      <c r="BV38" s="293" t="s">
        <v>469</v>
      </c>
      <c r="BW38" s="293" t="s">
        <v>469</v>
      </c>
      <c r="BX38" s="293" t="s">
        <v>469</v>
      </c>
      <c r="BY38" s="294" t="s">
        <v>469</v>
      </c>
      <c r="CA38" s="288" t="s">
        <v>469</v>
      </c>
      <c r="CB38" s="292" t="s">
        <v>469</v>
      </c>
      <c r="CC38" s="293" t="s">
        <v>469</v>
      </c>
      <c r="CD38" s="293" t="s">
        <v>469</v>
      </c>
      <c r="CE38" s="293" t="s">
        <v>469</v>
      </c>
      <c r="CF38" s="293" t="s">
        <v>469</v>
      </c>
      <c r="CG38" s="294" t="s">
        <v>469</v>
      </c>
      <c r="CI38" s="288" t="s">
        <v>469</v>
      </c>
      <c r="CJ38" s="292" t="s">
        <v>469</v>
      </c>
      <c r="CK38" s="293" t="s">
        <v>469</v>
      </c>
      <c r="CL38" s="293" t="s">
        <v>469</v>
      </c>
      <c r="CM38" s="293" t="s">
        <v>469</v>
      </c>
      <c r="CN38" s="293" t="s">
        <v>469</v>
      </c>
      <c r="CO38" s="294" t="s">
        <v>469</v>
      </c>
      <c r="CQ38" s="295" t="e">
        <v>#REF!</v>
      </c>
      <c r="CR38" s="209" t="e">
        <v>#REF!</v>
      </c>
    </row>
    <row r="39" spans="2:97" ht="15.75" customHeight="1">
      <c r="B39" s="403"/>
      <c r="C39" s="415"/>
      <c r="D39" s="403"/>
      <c r="E39" s="425"/>
      <c r="F39" s="415"/>
      <c r="G39" s="352"/>
      <c r="H39" s="426"/>
      <c r="I39" s="339"/>
      <c r="J39" s="309"/>
      <c r="K39" s="210"/>
      <c r="M39" s="209" t="e">
        <v>#REF!</v>
      </c>
      <c r="O39" s="310">
        <v>3300</v>
      </c>
      <c r="P39" s="335" t="s">
        <v>349</v>
      </c>
      <c r="Q39" s="336"/>
      <c r="R39" s="337"/>
      <c r="S39" s="338">
        <v>10750000</v>
      </c>
      <c r="T39" s="286">
        <v>1.1148272017837235</v>
      </c>
      <c r="U39" s="287">
        <v>11984392.419175027</v>
      </c>
      <c r="V39" s="208" t="s">
        <v>287</v>
      </c>
      <c r="W39" s="248" t="s">
        <v>282</v>
      </c>
      <c r="X39" s="271" t="s">
        <v>469</v>
      </c>
      <c r="Y39" s="271" t="s">
        <v>469</v>
      </c>
      <c r="Z39" s="271" t="s">
        <v>469</v>
      </c>
      <c r="AA39" s="271" t="s">
        <v>469</v>
      </c>
      <c r="AB39" s="271" t="e">
        <v>#REF!</v>
      </c>
      <c r="AC39" s="272" t="s">
        <v>469</v>
      </c>
      <c r="AE39" s="288" t="s">
        <v>469</v>
      </c>
      <c r="AF39" s="292" t="s">
        <v>469</v>
      </c>
      <c r="AG39" s="293" t="s">
        <v>469</v>
      </c>
      <c r="AH39" s="293" t="s">
        <v>469</v>
      </c>
      <c r="AI39" s="293" t="s">
        <v>469</v>
      </c>
      <c r="AJ39" s="293" t="s">
        <v>469</v>
      </c>
      <c r="AK39" s="294" t="s">
        <v>469</v>
      </c>
      <c r="AM39" s="288" t="s">
        <v>469</v>
      </c>
      <c r="AN39" s="292" t="s">
        <v>469</v>
      </c>
      <c r="AO39" s="293" t="s">
        <v>469</v>
      </c>
      <c r="AP39" s="293" t="s">
        <v>469</v>
      </c>
      <c r="AQ39" s="293" t="s">
        <v>469</v>
      </c>
      <c r="AR39" s="293" t="s">
        <v>469</v>
      </c>
      <c r="AS39" s="294" t="s">
        <v>469</v>
      </c>
      <c r="AU39" s="288" t="s">
        <v>469</v>
      </c>
      <c r="AV39" s="292" t="s">
        <v>469</v>
      </c>
      <c r="AW39" s="293" t="s">
        <v>469</v>
      </c>
      <c r="AX39" s="293" t="s">
        <v>469</v>
      </c>
      <c r="AY39" s="293" t="s">
        <v>469</v>
      </c>
      <c r="AZ39" s="293" t="s">
        <v>469</v>
      </c>
      <c r="BA39" s="294" t="s">
        <v>469</v>
      </c>
      <c r="BC39" s="288">
        <v>11984392.419175027</v>
      </c>
      <c r="BD39" s="292" t="s">
        <v>469</v>
      </c>
      <c r="BE39" s="293" t="s">
        <v>469</v>
      </c>
      <c r="BF39" s="293" t="s">
        <v>469</v>
      </c>
      <c r="BG39" s="293" t="s">
        <v>469</v>
      </c>
      <c r="BH39" s="293" t="e">
        <v>#REF!</v>
      </c>
      <c r="BI39" s="294" t="s">
        <v>469</v>
      </c>
      <c r="BK39" s="288" t="s">
        <v>469</v>
      </c>
      <c r="BL39" s="292" t="s">
        <v>469</v>
      </c>
      <c r="BM39" s="293" t="s">
        <v>469</v>
      </c>
      <c r="BN39" s="293" t="s">
        <v>469</v>
      </c>
      <c r="BO39" s="293" t="s">
        <v>469</v>
      </c>
      <c r="BP39" s="293" t="s">
        <v>469</v>
      </c>
      <c r="BQ39" s="294" t="s">
        <v>469</v>
      </c>
      <c r="BS39" s="288" t="s">
        <v>469</v>
      </c>
      <c r="BT39" s="292" t="s">
        <v>469</v>
      </c>
      <c r="BU39" s="293" t="s">
        <v>469</v>
      </c>
      <c r="BV39" s="293" t="s">
        <v>469</v>
      </c>
      <c r="BW39" s="293" t="s">
        <v>469</v>
      </c>
      <c r="BX39" s="293" t="s">
        <v>469</v>
      </c>
      <c r="BY39" s="294" t="s">
        <v>469</v>
      </c>
      <c r="CA39" s="288" t="s">
        <v>469</v>
      </c>
      <c r="CB39" s="292" t="s">
        <v>469</v>
      </c>
      <c r="CC39" s="293" t="s">
        <v>469</v>
      </c>
      <c r="CD39" s="293" t="s">
        <v>469</v>
      </c>
      <c r="CE39" s="293" t="s">
        <v>469</v>
      </c>
      <c r="CF39" s="293" t="s">
        <v>469</v>
      </c>
      <c r="CG39" s="294" t="s">
        <v>469</v>
      </c>
      <c r="CI39" s="288" t="s">
        <v>469</v>
      </c>
      <c r="CJ39" s="292" t="s">
        <v>469</v>
      </c>
      <c r="CK39" s="293" t="s">
        <v>469</v>
      </c>
      <c r="CL39" s="293" t="s">
        <v>469</v>
      </c>
      <c r="CM39" s="293" t="s">
        <v>469</v>
      </c>
      <c r="CN39" s="293" t="s">
        <v>469</v>
      </c>
      <c r="CO39" s="294" t="s">
        <v>469</v>
      </c>
      <c r="CQ39" s="295" t="e">
        <v>#REF!</v>
      </c>
      <c r="CR39" s="209" t="e">
        <v>#REF!</v>
      </c>
      <c r="CS39" s="340"/>
    </row>
    <row r="40" spans="2:97" ht="15.75" customHeight="1">
      <c r="B40" s="403">
        <v>6000</v>
      </c>
      <c r="C40" s="415" t="s">
        <v>350</v>
      </c>
      <c r="D40" s="424">
        <v>0.1</v>
      </c>
      <c r="E40" s="425">
        <v>0</v>
      </c>
      <c r="F40" s="415">
        <v>2.3752739726027396</v>
      </c>
      <c r="G40" s="352">
        <v>0.21529263280228078</v>
      </c>
      <c r="H40" s="348">
        <v>104037000</v>
      </c>
      <c r="I40" s="341"/>
      <c r="J40" s="326"/>
      <c r="K40" s="210"/>
      <c r="L40" s="210"/>
      <c r="M40" s="209" t="e">
        <v>#REF!</v>
      </c>
      <c r="O40" s="264">
        <v>3350</v>
      </c>
      <c r="P40" s="342" t="s">
        <v>351</v>
      </c>
      <c r="Q40" s="244"/>
      <c r="R40" s="245"/>
      <c r="S40" s="285">
        <v>200000</v>
      </c>
      <c r="T40" s="286">
        <v>1.1148272017837235</v>
      </c>
      <c r="U40" s="287">
        <v>222965.44035674472</v>
      </c>
      <c r="V40" s="208" t="s">
        <v>287</v>
      </c>
      <c r="W40" s="248" t="s">
        <v>279</v>
      </c>
      <c r="X40" s="271" t="e">
        <v>#REF!</v>
      </c>
      <c r="Y40" s="271" t="s">
        <v>469</v>
      </c>
      <c r="Z40" s="271" t="s">
        <v>469</v>
      </c>
      <c r="AA40" s="271" t="s">
        <v>469</v>
      </c>
      <c r="AB40" s="271" t="s">
        <v>469</v>
      </c>
      <c r="AC40" s="272" t="s">
        <v>469</v>
      </c>
      <c r="AE40" s="288" t="s">
        <v>469</v>
      </c>
      <c r="AF40" s="292" t="s">
        <v>469</v>
      </c>
      <c r="AG40" s="293" t="s">
        <v>469</v>
      </c>
      <c r="AH40" s="293" t="s">
        <v>469</v>
      </c>
      <c r="AI40" s="293" t="s">
        <v>469</v>
      </c>
      <c r="AJ40" s="293" t="s">
        <v>469</v>
      </c>
      <c r="AK40" s="294" t="s">
        <v>469</v>
      </c>
      <c r="AM40" s="288" t="s">
        <v>469</v>
      </c>
      <c r="AN40" s="292" t="s">
        <v>469</v>
      </c>
      <c r="AO40" s="293" t="s">
        <v>469</v>
      </c>
      <c r="AP40" s="293" t="s">
        <v>469</v>
      </c>
      <c r="AQ40" s="293" t="s">
        <v>469</v>
      </c>
      <c r="AR40" s="293" t="s">
        <v>469</v>
      </c>
      <c r="AS40" s="294" t="s">
        <v>469</v>
      </c>
      <c r="AU40" s="288" t="s">
        <v>469</v>
      </c>
      <c r="AV40" s="292" t="s">
        <v>469</v>
      </c>
      <c r="AW40" s="293" t="s">
        <v>469</v>
      </c>
      <c r="AX40" s="293" t="s">
        <v>469</v>
      </c>
      <c r="AY40" s="293" t="s">
        <v>469</v>
      </c>
      <c r="AZ40" s="293" t="s">
        <v>469</v>
      </c>
      <c r="BA40" s="294" t="s">
        <v>469</v>
      </c>
      <c r="BC40" s="288">
        <v>222965.44035674472</v>
      </c>
      <c r="BD40" s="292" t="e">
        <v>#REF!</v>
      </c>
      <c r="BE40" s="293" t="s">
        <v>469</v>
      </c>
      <c r="BF40" s="293" t="s">
        <v>469</v>
      </c>
      <c r="BG40" s="293" t="s">
        <v>469</v>
      </c>
      <c r="BH40" s="293" t="s">
        <v>469</v>
      </c>
      <c r="BI40" s="294" t="s">
        <v>469</v>
      </c>
      <c r="BK40" s="288" t="s">
        <v>469</v>
      </c>
      <c r="BL40" s="292" t="s">
        <v>469</v>
      </c>
      <c r="BM40" s="293" t="s">
        <v>469</v>
      </c>
      <c r="BN40" s="293" t="s">
        <v>469</v>
      </c>
      <c r="BO40" s="293" t="s">
        <v>469</v>
      </c>
      <c r="BP40" s="293" t="s">
        <v>469</v>
      </c>
      <c r="BQ40" s="294" t="s">
        <v>469</v>
      </c>
      <c r="BS40" s="288" t="s">
        <v>469</v>
      </c>
      <c r="BT40" s="292" t="s">
        <v>469</v>
      </c>
      <c r="BU40" s="293" t="s">
        <v>469</v>
      </c>
      <c r="BV40" s="293" t="s">
        <v>469</v>
      </c>
      <c r="BW40" s="293" t="s">
        <v>469</v>
      </c>
      <c r="BX40" s="293" t="s">
        <v>469</v>
      </c>
      <c r="BY40" s="294" t="s">
        <v>469</v>
      </c>
      <c r="CA40" s="288" t="s">
        <v>469</v>
      </c>
      <c r="CB40" s="292" t="s">
        <v>469</v>
      </c>
      <c r="CC40" s="293" t="s">
        <v>469</v>
      </c>
      <c r="CD40" s="293" t="s">
        <v>469</v>
      </c>
      <c r="CE40" s="293" t="s">
        <v>469</v>
      </c>
      <c r="CF40" s="293" t="s">
        <v>469</v>
      </c>
      <c r="CG40" s="294" t="s">
        <v>469</v>
      </c>
      <c r="CI40" s="288" t="s">
        <v>469</v>
      </c>
      <c r="CJ40" s="292" t="s">
        <v>469</v>
      </c>
      <c r="CK40" s="293" t="s">
        <v>469</v>
      </c>
      <c r="CL40" s="293" t="s">
        <v>469</v>
      </c>
      <c r="CM40" s="293" t="s">
        <v>469</v>
      </c>
      <c r="CN40" s="293" t="s">
        <v>469</v>
      </c>
      <c r="CO40" s="294" t="s">
        <v>469</v>
      </c>
      <c r="CQ40" s="295" t="e">
        <v>#REF!</v>
      </c>
      <c r="CR40" s="209" t="e">
        <v>#REF!</v>
      </c>
      <c r="CS40" s="343"/>
    </row>
    <row r="41" spans="2:97" ht="15.75" customHeight="1">
      <c r="B41" s="403"/>
      <c r="C41" s="415"/>
      <c r="D41" s="403"/>
      <c r="E41" s="425"/>
      <c r="F41" s="415"/>
      <c r="G41" s="352"/>
      <c r="H41" s="426"/>
      <c r="I41" s="339"/>
      <c r="J41" s="309"/>
      <c r="K41" s="210"/>
      <c r="M41" s="209" t="e">
        <v>#REF!</v>
      </c>
      <c r="O41" s="310">
        <v>3400</v>
      </c>
      <c r="P41" s="335" t="s">
        <v>352</v>
      </c>
      <c r="Q41" s="336"/>
      <c r="R41" s="337"/>
      <c r="S41" s="338">
        <v>0</v>
      </c>
      <c r="T41" s="286">
        <v>1.1148272017837235</v>
      </c>
      <c r="U41" s="287">
        <v>0</v>
      </c>
      <c r="V41" s="208" t="s">
        <v>285</v>
      </c>
      <c r="W41" s="248" t="s">
        <v>210</v>
      </c>
      <c r="X41" s="271" t="s">
        <v>469</v>
      </c>
      <c r="Y41" s="271" t="s">
        <v>469</v>
      </c>
      <c r="Z41" s="271" t="s">
        <v>469</v>
      </c>
      <c r="AA41" s="271" t="e">
        <v>#REF!</v>
      </c>
      <c r="AB41" s="271" t="s">
        <v>469</v>
      </c>
      <c r="AC41" s="272" t="s">
        <v>469</v>
      </c>
      <c r="AE41" s="288" t="s">
        <v>469</v>
      </c>
      <c r="AF41" s="292" t="s">
        <v>469</v>
      </c>
      <c r="AG41" s="293" t="s">
        <v>469</v>
      </c>
      <c r="AH41" s="293" t="s">
        <v>469</v>
      </c>
      <c r="AI41" s="293" t="s">
        <v>469</v>
      </c>
      <c r="AJ41" s="293" t="s">
        <v>469</v>
      </c>
      <c r="AK41" s="294" t="s">
        <v>469</v>
      </c>
      <c r="AM41" s="288">
        <v>0</v>
      </c>
      <c r="AN41" s="292" t="s">
        <v>469</v>
      </c>
      <c r="AO41" s="293" t="s">
        <v>469</v>
      </c>
      <c r="AP41" s="293" t="s">
        <v>469</v>
      </c>
      <c r="AQ41" s="293" t="e">
        <v>#REF!</v>
      </c>
      <c r="AR41" s="293" t="s">
        <v>469</v>
      </c>
      <c r="AS41" s="294" t="s">
        <v>469</v>
      </c>
      <c r="AU41" s="288" t="s">
        <v>469</v>
      </c>
      <c r="AV41" s="292" t="s">
        <v>469</v>
      </c>
      <c r="AW41" s="293" t="s">
        <v>469</v>
      </c>
      <c r="AX41" s="293" t="s">
        <v>469</v>
      </c>
      <c r="AY41" s="293" t="s">
        <v>469</v>
      </c>
      <c r="AZ41" s="293" t="s">
        <v>469</v>
      </c>
      <c r="BA41" s="294" t="s">
        <v>469</v>
      </c>
      <c r="BC41" s="288" t="s">
        <v>469</v>
      </c>
      <c r="BD41" s="292" t="s">
        <v>469</v>
      </c>
      <c r="BE41" s="293" t="s">
        <v>469</v>
      </c>
      <c r="BF41" s="293" t="s">
        <v>469</v>
      </c>
      <c r="BG41" s="293" t="s">
        <v>469</v>
      </c>
      <c r="BH41" s="293" t="s">
        <v>469</v>
      </c>
      <c r="BI41" s="294" t="s">
        <v>469</v>
      </c>
      <c r="BK41" s="288" t="s">
        <v>469</v>
      </c>
      <c r="BL41" s="292" t="s">
        <v>469</v>
      </c>
      <c r="BM41" s="293" t="s">
        <v>469</v>
      </c>
      <c r="BN41" s="293" t="s">
        <v>469</v>
      </c>
      <c r="BO41" s="293" t="s">
        <v>469</v>
      </c>
      <c r="BP41" s="293" t="s">
        <v>469</v>
      </c>
      <c r="BQ41" s="294" t="s">
        <v>469</v>
      </c>
      <c r="BS41" s="288" t="s">
        <v>469</v>
      </c>
      <c r="BT41" s="292" t="s">
        <v>469</v>
      </c>
      <c r="BU41" s="293" t="s">
        <v>469</v>
      </c>
      <c r="BV41" s="293" t="s">
        <v>469</v>
      </c>
      <c r="BW41" s="293" t="s">
        <v>469</v>
      </c>
      <c r="BX41" s="293" t="s">
        <v>469</v>
      </c>
      <c r="BY41" s="294" t="s">
        <v>469</v>
      </c>
      <c r="CA41" s="288" t="s">
        <v>469</v>
      </c>
      <c r="CB41" s="292" t="s">
        <v>469</v>
      </c>
      <c r="CC41" s="293" t="s">
        <v>469</v>
      </c>
      <c r="CD41" s="293" t="s">
        <v>469</v>
      </c>
      <c r="CE41" s="293" t="s">
        <v>469</v>
      </c>
      <c r="CF41" s="293" t="s">
        <v>469</v>
      </c>
      <c r="CG41" s="294" t="s">
        <v>469</v>
      </c>
      <c r="CI41" s="288" t="s">
        <v>469</v>
      </c>
      <c r="CJ41" s="292" t="s">
        <v>469</v>
      </c>
      <c r="CK41" s="293" t="s">
        <v>469</v>
      </c>
      <c r="CL41" s="293" t="s">
        <v>469</v>
      </c>
      <c r="CM41" s="293" t="s">
        <v>469</v>
      </c>
      <c r="CN41" s="293" t="s">
        <v>469</v>
      </c>
      <c r="CO41" s="294" t="s">
        <v>469</v>
      </c>
      <c r="CQ41" s="295" t="e">
        <v>#REF!</v>
      </c>
      <c r="CR41" s="209" t="e">
        <v>#REF!</v>
      </c>
      <c r="CS41" s="343"/>
    </row>
    <row r="42" spans="2:96" ht="15.75" customHeight="1">
      <c r="B42" s="403">
        <v>8000</v>
      </c>
      <c r="C42" s="415" t="s">
        <v>235</v>
      </c>
      <c r="D42" s="424">
        <v>0.05</v>
      </c>
      <c r="E42" s="425">
        <v>0</v>
      </c>
      <c r="F42" s="415">
        <v>0.2170730593607306</v>
      </c>
      <c r="G42" s="352">
        <v>0.01967530103864515</v>
      </c>
      <c r="H42" s="348">
        <v>9507800</v>
      </c>
      <c r="I42" s="319"/>
      <c r="J42" s="326"/>
      <c r="K42" s="210"/>
      <c r="M42" s="209" t="e">
        <v>#REF!</v>
      </c>
      <c r="O42" s="344">
        <v>3420</v>
      </c>
      <c r="P42" s="345" t="s">
        <v>353</v>
      </c>
      <c r="Q42" s="244"/>
      <c r="R42" s="245"/>
      <c r="S42" s="285">
        <v>0</v>
      </c>
      <c r="T42" s="286">
        <v>1.1148272017837235</v>
      </c>
      <c r="U42" s="287">
        <v>0</v>
      </c>
      <c r="W42" s="248"/>
      <c r="X42" s="271" t="s">
        <v>469</v>
      </c>
      <c r="Y42" s="271" t="s">
        <v>469</v>
      </c>
      <c r="Z42" s="271" t="s">
        <v>469</v>
      </c>
      <c r="AA42" s="271" t="s">
        <v>469</v>
      </c>
      <c r="AB42" s="271" t="s">
        <v>469</v>
      </c>
      <c r="AC42" s="272" t="s">
        <v>469</v>
      </c>
      <c r="AE42" s="288" t="s">
        <v>469</v>
      </c>
      <c r="AF42" s="292" t="s">
        <v>469</v>
      </c>
      <c r="AG42" s="293" t="s">
        <v>469</v>
      </c>
      <c r="AH42" s="293" t="s">
        <v>469</v>
      </c>
      <c r="AI42" s="293" t="s">
        <v>469</v>
      </c>
      <c r="AJ42" s="293" t="s">
        <v>469</v>
      </c>
      <c r="AK42" s="294" t="s">
        <v>469</v>
      </c>
      <c r="AM42" s="288" t="s">
        <v>469</v>
      </c>
      <c r="AN42" s="292" t="s">
        <v>469</v>
      </c>
      <c r="AO42" s="293" t="s">
        <v>469</v>
      </c>
      <c r="AP42" s="293" t="s">
        <v>469</v>
      </c>
      <c r="AQ42" s="293" t="s">
        <v>469</v>
      </c>
      <c r="AR42" s="293" t="s">
        <v>469</v>
      </c>
      <c r="AS42" s="294" t="s">
        <v>469</v>
      </c>
      <c r="AU42" s="288" t="s">
        <v>469</v>
      </c>
      <c r="AV42" s="292" t="s">
        <v>469</v>
      </c>
      <c r="AW42" s="293" t="s">
        <v>469</v>
      </c>
      <c r="AX42" s="293" t="s">
        <v>469</v>
      </c>
      <c r="AY42" s="293" t="s">
        <v>469</v>
      </c>
      <c r="AZ42" s="293" t="s">
        <v>469</v>
      </c>
      <c r="BA42" s="294" t="s">
        <v>469</v>
      </c>
      <c r="BC42" s="288" t="s">
        <v>469</v>
      </c>
      <c r="BD42" s="292" t="s">
        <v>469</v>
      </c>
      <c r="BE42" s="293" t="s">
        <v>469</v>
      </c>
      <c r="BF42" s="293" t="s">
        <v>469</v>
      </c>
      <c r="BG42" s="293" t="s">
        <v>469</v>
      </c>
      <c r="BH42" s="293" t="s">
        <v>469</v>
      </c>
      <c r="BI42" s="294" t="s">
        <v>469</v>
      </c>
      <c r="BK42" s="288" t="s">
        <v>469</v>
      </c>
      <c r="BL42" s="292" t="s">
        <v>469</v>
      </c>
      <c r="BM42" s="293" t="s">
        <v>469</v>
      </c>
      <c r="BN42" s="293" t="s">
        <v>469</v>
      </c>
      <c r="BO42" s="293" t="s">
        <v>469</v>
      </c>
      <c r="BP42" s="293" t="s">
        <v>469</v>
      </c>
      <c r="BQ42" s="294" t="s">
        <v>469</v>
      </c>
      <c r="BS42" s="288" t="s">
        <v>469</v>
      </c>
      <c r="BT42" s="292" t="s">
        <v>469</v>
      </c>
      <c r="BU42" s="293" t="s">
        <v>469</v>
      </c>
      <c r="BV42" s="293" t="s">
        <v>469</v>
      </c>
      <c r="BW42" s="293" t="s">
        <v>469</v>
      </c>
      <c r="BX42" s="293" t="s">
        <v>469</v>
      </c>
      <c r="BY42" s="294" t="s">
        <v>469</v>
      </c>
      <c r="CA42" s="288" t="s">
        <v>469</v>
      </c>
      <c r="CB42" s="292" t="s">
        <v>469</v>
      </c>
      <c r="CC42" s="293" t="s">
        <v>469</v>
      </c>
      <c r="CD42" s="293" t="s">
        <v>469</v>
      </c>
      <c r="CE42" s="293" t="s">
        <v>469</v>
      </c>
      <c r="CF42" s="293" t="s">
        <v>469</v>
      </c>
      <c r="CG42" s="294" t="s">
        <v>469</v>
      </c>
      <c r="CI42" s="288" t="s">
        <v>469</v>
      </c>
      <c r="CJ42" s="292" t="s">
        <v>469</v>
      </c>
      <c r="CK42" s="293" t="s">
        <v>469</v>
      </c>
      <c r="CL42" s="293" t="s">
        <v>469</v>
      </c>
      <c r="CM42" s="293" t="s">
        <v>469</v>
      </c>
      <c r="CN42" s="293" t="s">
        <v>469</v>
      </c>
      <c r="CO42" s="294" t="s">
        <v>469</v>
      </c>
      <c r="CQ42" s="295" t="e">
        <v>#REF!</v>
      </c>
      <c r="CR42" s="209" t="e">
        <v>#REF!</v>
      </c>
    </row>
    <row r="43" spans="2:97" ht="15.75" customHeight="1">
      <c r="B43" s="403"/>
      <c r="C43" s="415"/>
      <c r="D43" s="403"/>
      <c r="E43" s="403"/>
      <c r="F43" s="415"/>
      <c r="G43" s="401"/>
      <c r="H43" s="426"/>
      <c r="I43" s="339"/>
      <c r="J43" s="309"/>
      <c r="K43" s="210"/>
      <c r="M43" s="209" t="e">
        <v>#REF!</v>
      </c>
      <c r="O43" s="344">
        <v>3500</v>
      </c>
      <c r="P43" s="345" t="s">
        <v>354</v>
      </c>
      <c r="Q43" s="244"/>
      <c r="R43" s="245"/>
      <c r="S43" s="285">
        <v>333000</v>
      </c>
      <c r="T43" s="286">
        <v>1.1148272017837235</v>
      </c>
      <c r="U43" s="287">
        <v>371237.4581939799</v>
      </c>
      <c r="V43" s="208" t="s">
        <v>285</v>
      </c>
      <c r="W43" s="248" t="s">
        <v>283</v>
      </c>
      <c r="X43" s="271" t="s">
        <v>469</v>
      </c>
      <c r="Y43" s="271" t="s">
        <v>469</v>
      </c>
      <c r="Z43" s="271" t="s">
        <v>469</v>
      </c>
      <c r="AA43" s="271" t="s">
        <v>469</v>
      </c>
      <c r="AB43" s="271" t="s">
        <v>469</v>
      </c>
      <c r="AC43" s="272" t="e">
        <v>#REF!</v>
      </c>
      <c r="AE43" s="288" t="s">
        <v>469</v>
      </c>
      <c r="AF43" s="292" t="s">
        <v>469</v>
      </c>
      <c r="AG43" s="293" t="s">
        <v>469</v>
      </c>
      <c r="AH43" s="293" t="s">
        <v>469</v>
      </c>
      <c r="AI43" s="293" t="s">
        <v>469</v>
      </c>
      <c r="AJ43" s="293" t="s">
        <v>469</v>
      </c>
      <c r="AK43" s="294" t="s">
        <v>469</v>
      </c>
      <c r="AM43" s="288">
        <v>371237.4581939799</v>
      </c>
      <c r="AN43" s="292" t="s">
        <v>469</v>
      </c>
      <c r="AO43" s="293" t="s">
        <v>469</v>
      </c>
      <c r="AP43" s="293" t="s">
        <v>469</v>
      </c>
      <c r="AQ43" s="293" t="s">
        <v>469</v>
      </c>
      <c r="AR43" s="293" t="s">
        <v>469</v>
      </c>
      <c r="AS43" s="294" t="e">
        <v>#REF!</v>
      </c>
      <c r="AU43" s="288" t="s">
        <v>469</v>
      </c>
      <c r="AV43" s="292" t="s">
        <v>469</v>
      </c>
      <c r="AW43" s="293" t="s">
        <v>469</v>
      </c>
      <c r="AX43" s="293" t="s">
        <v>469</v>
      </c>
      <c r="AY43" s="293" t="s">
        <v>469</v>
      </c>
      <c r="AZ43" s="293" t="s">
        <v>469</v>
      </c>
      <c r="BA43" s="294" t="s">
        <v>469</v>
      </c>
      <c r="BC43" s="288" t="s">
        <v>469</v>
      </c>
      <c r="BD43" s="292" t="s">
        <v>469</v>
      </c>
      <c r="BE43" s="293" t="s">
        <v>469</v>
      </c>
      <c r="BF43" s="293" t="s">
        <v>469</v>
      </c>
      <c r="BG43" s="293" t="s">
        <v>469</v>
      </c>
      <c r="BH43" s="293" t="s">
        <v>469</v>
      </c>
      <c r="BI43" s="294" t="s">
        <v>469</v>
      </c>
      <c r="BK43" s="288" t="s">
        <v>469</v>
      </c>
      <c r="BL43" s="292" t="s">
        <v>469</v>
      </c>
      <c r="BM43" s="293" t="s">
        <v>469</v>
      </c>
      <c r="BN43" s="293" t="s">
        <v>469</v>
      </c>
      <c r="BO43" s="293" t="s">
        <v>469</v>
      </c>
      <c r="BP43" s="293" t="s">
        <v>469</v>
      </c>
      <c r="BQ43" s="294" t="s">
        <v>469</v>
      </c>
      <c r="BS43" s="288" t="s">
        <v>469</v>
      </c>
      <c r="BT43" s="292" t="s">
        <v>469</v>
      </c>
      <c r="BU43" s="293" t="s">
        <v>469</v>
      </c>
      <c r="BV43" s="293" t="s">
        <v>469</v>
      </c>
      <c r="BW43" s="293" t="s">
        <v>469</v>
      </c>
      <c r="BX43" s="293" t="s">
        <v>469</v>
      </c>
      <c r="BY43" s="294" t="s">
        <v>469</v>
      </c>
      <c r="CA43" s="288" t="s">
        <v>469</v>
      </c>
      <c r="CB43" s="292" t="s">
        <v>469</v>
      </c>
      <c r="CC43" s="293" t="s">
        <v>469</v>
      </c>
      <c r="CD43" s="293" t="s">
        <v>469</v>
      </c>
      <c r="CE43" s="293" t="s">
        <v>469</v>
      </c>
      <c r="CF43" s="293" t="s">
        <v>469</v>
      </c>
      <c r="CG43" s="294" t="s">
        <v>469</v>
      </c>
      <c r="CI43" s="288" t="s">
        <v>469</v>
      </c>
      <c r="CJ43" s="292" t="s">
        <v>469</v>
      </c>
      <c r="CK43" s="293" t="s">
        <v>469</v>
      </c>
      <c r="CL43" s="293" t="s">
        <v>469</v>
      </c>
      <c r="CM43" s="293" t="s">
        <v>469</v>
      </c>
      <c r="CN43" s="293" t="s">
        <v>469</v>
      </c>
      <c r="CO43" s="294" t="s">
        <v>469</v>
      </c>
      <c r="CQ43" s="295" t="e">
        <v>#REF!</v>
      </c>
      <c r="CR43" s="209" t="e">
        <v>#REF!</v>
      </c>
      <c r="CS43" s="343"/>
    </row>
    <row r="44" spans="2:96" ht="15.75" customHeight="1">
      <c r="B44" s="419"/>
      <c r="C44" s="415" t="s">
        <v>355</v>
      </c>
      <c r="D44" s="420"/>
      <c r="E44" s="427">
        <v>0</v>
      </c>
      <c r="F44" s="415"/>
      <c r="G44" s="400"/>
      <c r="H44" s="348">
        <v>0</v>
      </c>
      <c r="I44" s="346">
        <v>0</v>
      </c>
      <c r="J44" s="326"/>
      <c r="K44" s="210"/>
      <c r="M44" s="209" t="e">
        <v>#REF!</v>
      </c>
      <c r="O44" s="344">
        <v>3600</v>
      </c>
      <c r="P44" s="345" t="s">
        <v>356</v>
      </c>
      <c r="Q44" s="244"/>
      <c r="R44" s="245"/>
      <c r="S44" s="285">
        <v>25000</v>
      </c>
      <c r="T44" s="286">
        <v>1.1148272017837235</v>
      </c>
      <c r="U44" s="287">
        <v>27870.68004459309</v>
      </c>
      <c r="V44" s="208" t="s">
        <v>285</v>
      </c>
      <c r="W44" s="248" t="s">
        <v>210</v>
      </c>
      <c r="X44" s="271" t="s">
        <v>469</v>
      </c>
      <c r="Y44" s="271" t="s">
        <v>469</v>
      </c>
      <c r="Z44" s="271" t="s">
        <v>469</v>
      </c>
      <c r="AA44" s="271" t="e">
        <v>#REF!</v>
      </c>
      <c r="AB44" s="271" t="s">
        <v>469</v>
      </c>
      <c r="AC44" s="272" t="s">
        <v>469</v>
      </c>
      <c r="AE44" s="288" t="s">
        <v>469</v>
      </c>
      <c r="AF44" s="292" t="s">
        <v>469</v>
      </c>
      <c r="AG44" s="293" t="s">
        <v>469</v>
      </c>
      <c r="AH44" s="293" t="s">
        <v>469</v>
      </c>
      <c r="AI44" s="293" t="s">
        <v>469</v>
      </c>
      <c r="AJ44" s="293" t="s">
        <v>469</v>
      </c>
      <c r="AK44" s="294" t="s">
        <v>469</v>
      </c>
      <c r="AM44" s="288">
        <v>27870.68004459309</v>
      </c>
      <c r="AN44" s="292" t="s">
        <v>469</v>
      </c>
      <c r="AO44" s="293" t="s">
        <v>469</v>
      </c>
      <c r="AP44" s="293" t="s">
        <v>469</v>
      </c>
      <c r="AQ44" s="293" t="e">
        <v>#REF!</v>
      </c>
      <c r="AR44" s="293" t="s">
        <v>469</v>
      </c>
      <c r="AS44" s="294" t="s">
        <v>469</v>
      </c>
      <c r="AU44" s="288" t="s">
        <v>469</v>
      </c>
      <c r="AV44" s="292" t="s">
        <v>469</v>
      </c>
      <c r="AW44" s="293" t="s">
        <v>469</v>
      </c>
      <c r="AX44" s="293" t="s">
        <v>469</v>
      </c>
      <c r="AY44" s="293" t="s">
        <v>469</v>
      </c>
      <c r="AZ44" s="293" t="s">
        <v>469</v>
      </c>
      <c r="BA44" s="294" t="s">
        <v>469</v>
      </c>
      <c r="BC44" s="288" t="s">
        <v>469</v>
      </c>
      <c r="BD44" s="292" t="s">
        <v>469</v>
      </c>
      <c r="BE44" s="293" t="s">
        <v>469</v>
      </c>
      <c r="BF44" s="293" t="s">
        <v>469</v>
      </c>
      <c r="BG44" s="293" t="s">
        <v>469</v>
      </c>
      <c r="BH44" s="293" t="s">
        <v>469</v>
      </c>
      <c r="BI44" s="294" t="s">
        <v>469</v>
      </c>
      <c r="BK44" s="288" t="s">
        <v>469</v>
      </c>
      <c r="BL44" s="292" t="s">
        <v>469</v>
      </c>
      <c r="BM44" s="293" t="s">
        <v>469</v>
      </c>
      <c r="BN44" s="293" t="s">
        <v>469</v>
      </c>
      <c r="BO44" s="293" t="s">
        <v>469</v>
      </c>
      <c r="BP44" s="293" t="s">
        <v>469</v>
      </c>
      <c r="BQ44" s="294" t="s">
        <v>469</v>
      </c>
      <c r="BS44" s="288" t="s">
        <v>469</v>
      </c>
      <c r="BT44" s="292" t="s">
        <v>469</v>
      </c>
      <c r="BU44" s="293" t="s">
        <v>469</v>
      </c>
      <c r="BV44" s="293" t="s">
        <v>469</v>
      </c>
      <c r="BW44" s="293" t="s">
        <v>469</v>
      </c>
      <c r="BX44" s="293" t="s">
        <v>469</v>
      </c>
      <c r="BY44" s="294" t="s">
        <v>469</v>
      </c>
      <c r="CA44" s="288" t="s">
        <v>469</v>
      </c>
      <c r="CB44" s="292" t="s">
        <v>469</v>
      </c>
      <c r="CC44" s="293" t="s">
        <v>469</v>
      </c>
      <c r="CD44" s="293" t="s">
        <v>469</v>
      </c>
      <c r="CE44" s="293" t="s">
        <v>469</v>
      </c>
      <c r="CF44" s="293" t="s">
        <v>469</v>
      </c>
      <c r="CG44" s="294" t="s">
        <v>469</v>
      </c>
      <c r="CI44" s="288" t="s">
        <v>469</v>
      </c>
      <c r="CJ44" s="292" t="s">
        <v>469</v>
      </c>
      <c r="CK44" s="293" t="s">
        <v>469</v>
      </c>
      <c r="CL44" s="293" t="s">
        <v>469</v>
      </c>
      <c r="CM44" s="293" t="s">
        <v>469</v>
      </c>
      <c r="CN44" s="293" t="s">
        <v>469</v>
      </c>
      <c r="CO44" s="294" t="s">
        <v>469</v>
      </c>
      <c r="CQ44" s="295" t="e">
        <v>#REF!</v>
      </c>
      <c r="CR44" s="209" t="e">
        <v>#REF!</v>
      </c>
    </row>
    <row r="45" spans="2:96" ht="15.75" customHeight="1">
      <c r="B45" s="419"/>
      <c r="C45" s="403" t="s">
        <v>357</v>
      </c>
      <c r="D45" s="420"/>
      <c r="E45" s="427"/>
      <c r="F45" s="415"/>
      <c r="G45" s="427">
        <v>0.023522702087368202</v>
      </c>
      <c r="H45" s="348">
        <v>11367000</v>
      </c>
      <c r="I45" s="322">
        <v>0</v>
      </c>
      <c r="J45" s="326"/>
      <c r="K45" s="210"/>
      <c r="M45" s="209" t="e">
        <v>#REF!</v>
      </c>
      <c r="O45" s="344">
        <v>3700</v>
      </c>
      <c r="P45" s="345" t="s">
        <v>358</v>
      </c>
      <c r="Q45" s="244"/>
      <c r="R45" s="245"/>
      <c r="S45" s="285">
        <v>150000</v>
      </c>
      <c r="T45" s="286">
        <v>1.1148272017837235</v>
      </c>
      <c r="U45" s="287">
        <v>167224.08026755851</v>
      </c>
      <c r="V45" s="208" t="s">
        <v>286</v>
      </c>
      <c r="W45" s="248" t="s">
        <v>280</v>
      </c>
      <c r="X45" s="271" t="s">
        <v>469</v>
      </c>
      <c r="Y45" s="271" t="e">
        <v>#REF!</v>
      </c>
      <c r="Z45" s="271" t="s">
        <v>469</v>
      </c>
      <c r="AA45" s="271" t="s">
        <v>469</v>
      </c>
      <c r="AB45" s="271" t="s">
        <v>469</v>
      </c>
      <c r="AC45" s="272" t="s">
        <v>469</v>
      </c>
      <c r="AE45" s="288" t="s">
        <v>469</v>
      </c>
      <c r="AF45" s="292" t="s">
        <v>469</v>
      </c>
      <c r="AG45" s="293" t="s">
        <v>469</v>
      </c>
      <c r="AH45" s="293" t="s">
        <v>469</v>
      </c>
      <c r="AI45" s="293" t="s">
        <v>469</v>
      </c>
      <c r="AJ45" s="293" t="s">
        <v>469</v>
      </c>
      <c r="AK45" s="294" t="s">
        <v>469</v>
      </c>
      <c r="AM45" s="288" t="s">
        <v>469</v>
      </c>
      <c r="AN45" s="292" t="s">
        <v>469</v>
      </c>
      <c r="AO45" s="293" t="s">
        <v>469</v>
      </c>
      <c r="AP45" s="293" t="s">
        <v>469</v>
      </c>
      <c r="AQ45" s="293" t="s">
        <v>469</v>
      </c>
      <c r="AR45" s="293" t="s">
        <v>469</v>
      </c>
      <c r="AS45" s="294" t="s">
        <v>469</v>
      </c>
      <c r="AU45" s="288">
        <v>167224.08026755851</v>
      </c>
      <c r="AV45" s="292" t="s">
        <v>469</v>
      </c>
      <c r="AW45" s="293" t="e">
        <v>#REF!</v>
      </c>
      <c r="AX45" s="293" t="s">
        <v>469</v>
      </c>
      <c r="AY45" s="293" t="s">
        <v>469</v>
      </c>
      <c r="AZ45" s="293" t="s">
        <v>469</v>
      </c>
      <c r="BA45" s="294" t="s">
        <v>469</v>
      </c>
      <c r="BC45" s="288" t="s">
        <v>469</v>
      </c>
      <c r="BD45" s="292" t="s">
        <v>469</v>
      </c>
      <c r="BE45" s="293" t="s">
        <v>469</v>
      </c>
      <c r="BF45" s="293" t="s">
        <v>469</v>
      </c>
      <c r="BG45" s="293" t="s">
        <v>469</v>
      </c>
      <c r="BH45" s="293" t="s">
        <v>469</v>
      </c>
      <c r="BI45" s="294" t="s">
        <v>469</v>
      </c>
      <c r="BK45" s="288" t="s">
        <v>469</v>
      </c>
      <c r="BL45" s="292" t="s">
        <v>469</v>
      </c>
      <c r="BM45" s="293" t="s">
        <v>469</v>
      </c>
      <c r="BN45" s="293" t="s">
        <v>469</v>
      </c>
      <c r="BO45" s="293" t="s">
        <v>469</v>
      </c>
      <c r="BP45" s="293" t="s">
        <v>469</v>
      </c>
      <c r="BQ45" s="294" t="s">
        <v>469</v>
      </c>
      <c r="BS45" s="288" t="s">
        <v>469</v>
      </c>
      <c r="BT45" s="292" t="s">
        <v>469</v>
      </c>
      <c r="BU45" s="293" t="s">
        <v>469</v>
      </c>
      <c r="BV45" s="293" t="s">
        <v>469</v>
      </c>
      <c r="BW45" s="293" t="s">
        <v>469</v>
      </c>
      <c r="BX45" s="293" t="s">
        <v>469</v>
      </c>
      <c r="BY45" s="294" t="s">
        <v>469</v>
      </c>
      <c r="CA45" s="288" t="s">
        <v>469</v>
      </c>
      <c r="CB45" s="292" t="s">
        <v>469</v>
      </c>
      <c r="CC45" s="293" t="s">
        <v>469</v>
      </c>
      <c r="CD45" s="293" t="s">
        <v>469</v>
      </c>
      <c r="CE45" s="293" t="s">
        <v>469</v>
      </c>
      <c r="CF45" s="293" t="s">
        <v>469</v>
      </c>
      <c r="CG45" s="294" t="s">
        <v>469</v>
      </c>
      <c r="CI45" s="288" t="s">
        <v>469</v>
      </c>
      <c r="CJ45" s="292" t="s">
        <v>469</v>
      </c>
      <c r="CK45" s="293" t="s">
        <v>469</v>
      </c>
      <c r="CL45" s="293" t="s">
        <v>469</v>
      </c>
      <c r="CM45" s="293" t="s">
        <v>469</v>
      </c>
      <c r="CN45" s="293" t="s">
        <v>469</v>
      </c>
      <c r="CO45" s="294" t="s">
        <v>469</v>
      </c>
      <c r="CQ45" s="295" t="e">
        <v>#REF!</v>
      </c>
      <c r="CR45" s="209" t="e">
        <v>#REF!</v>
      </c>
    </row>
    <row r="46" spans="2:96" ht="11.25">
      <c r="B46" s="419"/>
      <c r="C46" s="403" t="s">
        <v>359</v>
      </c>
      <c r="D46" s="420"/>
      <c r="E46" s="427"/>
      <c r="F46" s="415"/>
      <c r="G46" s="428">
        <v>0.9764772979126318</v>
      </c>
      <c r="H46" s="348">
        <v>471868300</v>
      </c>
      <c r="I46" s="347">
        <v>0</v>
      </c>
      <c r="J46" s="326"/>
      <c r="K46" s="210"/>
      <c r="M46" s="209" t="e">
        <v>#REF!</v>
      </c>
      <c r="O46" s="344">
        <v>3900</v>
      </c>
      <c r="P46" s="345" t="s">
        <v>360</v>
      </c>
      <c r="Q46" s="244"/>
      <c r="R46" s="245"/>
      <c r="S46" s="285">
        <v>560000</v>
      </c>
      <c r="T46" s="286">
        <v>1.1148272017837235</v>
      </c>
      <c r="U46" s="287">
        <v>624303.2329988852</v>
      </c>
      <c r="V46" s="208" t="s">
        <v>287</v>
      </c>
      <c r="W46" s="248" t="s">
        <v>283</v>
      </c>
      <c r="X46" s="271" t="s">
        <v>469</v>
      </c>
      <c r="Y46" s="271" t="s">
        <v>469</v>
      </c>
      <c r="Z46" s="271" t="s">
        <v>469</v>
      </c>
      <c r="AA46" s="271" t="s">
        <v>469</v>
      </c>
      <c r="AB46" s="271" t="s">
        <v>469</v>
      </c>
      <c r="AC46" s="272" t="e">
        <v>#REF!</v>
      </c>
      <c r="AE46" s="288" t="s">
        <v>469</v>
      </c>
      <c r="AF46" s="292" t="s">
        <v>469</v>
      </c>
      <c r="AG46" s="293" t="s">
        <v>469</v>
      </c>
      <c r="AH46" s="293" t="s">
        <v>469</v>
      </c>
      <c r="AI46" s="293" t="s">
        <v>469</v>
      </c>
      <c r="AJ46" s="293" t="s">
        <v>469</v>
      </c>
      <c r="AK46" s="294" t="s">
        <v>469</v>
      </c>
      <c r="AM46" s="288" t="s">
        <v>469</v>
      </c>
      <c r="AN46" s="292" t="s">
        <v>469</v>
      </c>
      <c r="AO46" s="293" t="s">
        <v>469</v>
      </c>
      <c r="AP46" s="293" t="s">
        <v>469</v>
      </c>
      <c r="AQ46" s="293" t="s">
        <v>469</v>
      </c>
      <c r="AR46" s="293" t="s">
        <v>469</v>
      </c>
      <c r="AS46" s="294" t="s">
        <v>469</v>
      </c>
      <c r="AU46" s="288" t="s">
        <v>469</v>
      </c>
      <c r="AV46" s="292" t="s">
        <v>469</v>
      </c>
      <c r="AW46" s="293" t="s">
        <v>469</v>
      </c>
      <c r="AX46" s="293" t="s">
        <v>469</v>
      </c>
      <c r="AY46" s="293" t="s">
        <v>469</v>
      </c>
      <c r="AZ46" s="293" t="s">
        <v>469</v>
      </c>
      <c r="BA46" s="294" t="s">
        <v>469</v>
      </c>
      <c r="BC46" s="288">
        <v>624303.2329988852</v>
      </c>
      <c r="BD46" s="292" t="s">
        <v>469</v>
      </c>
      <c r="BE46" s="293" t="s">
        <v>469</v>
      </c>
      <c r="BF46" s="293" t="s">
        <v>469</v>
      </c>
      <c r="BG46" s="293" t="s">
        <v>469</v>
      </c>
      <c r="BH46" s="293" t="s">
        <v>469</v>
      </c>
      <c r="BI46" s="294" t="e">
        <v>#REF!</v>
      </c>
      <c r="BK46" s="288" t="s">
        <v>469</v>
      </c>
      <c r="BL46" s="292" t="s">
        <v>469</v>
      </c>
      <c r="BM46" s="293" t="s">
        <v>469</v>
      </c>
      <c r="BN46" s="293" t="s">
        <v>469</v>
      </c>
      <c r="BO46" s="293" t="s">
        <v>469</v>
      </c>
      <c r="BP46" s="293" t="s">
        <v>469</v>
      </c>
      <c r="BQ46" s="294" t="s">
        <v>469</v>
      </c>
      <c r="BS46" s="288" t="s">
        <v>469</v>
      </c>
      <c r="BT46" s="292" t="s">
        <v>469</v>
      </c>
      <c r="BU46" s="293" t="s">
        <v>469</v>
      </c>
      <c r="BV46" s="293" t="s">
        <v>469</v>
      </c>
      <c r="BW46" s="293" t="s">
        <v>469</v>
      </c>
      <c r="BX46" s="293" t="s">
        <v>469</v>
      </c>
      <c r="BY46" s="294" t="s">
        <v>469</v>
      </c>
      <c r="CA46" s="288" t="s">
        <v>469</v>
      </c>
      <c r="CB46" s="292" t="s">
        <v>469</v>
      </c>
      <c r="CC46" s="293" t="s">
        <v>469</v>
      </c>
      <c r="CD46" s="293" t="s">
        <v>469</v>
      </c>
      <c r="CE46" s="293" t="s">
        <v>469</v>
      </c>
      <c r="CF46" s="293" t="s">
        <v>469</v>
      </c>
      <c r="CG46" s="294" t="s">
        <v>469</v>
      </c>
      <c r="CI46" s="288" t="s">
        <v>469</v>
      </c>
      <c r="CJ46" s="292" t="s">
        <v>469</v>
      </c>
      <c r="CK46" s="293" t="s">
        <v>469</v>
      </c>
      <c r="CL46" s="293" t="s">
        <v>469</v>
      </c>
      <c r="CM46" s="293" t="s">
        <v>469</v>
      </c>
      <c r="CN46" s="293" t="s">
        <v>469</v>
      </c>
      <c r="CO46" s="294" t="s">
        <v>469</v>
      </c>
      <c r="CQ46" s="295" t="e">
        <v>#REF!</v>
      </c>
      <c r="CR46" s="209" t="e">
        <v>#REF!</v>
      </c>
    </row>
    <row r="47" spans="2:96" ht="15.75" customHeight="1">
      <c r="B47" s="403"/>
      <c r="C47" s="403" t="s">
        <v>361</v>
      </c>
      <c r="D47" s="403">
        <v>2010</v>
      </c>
      <c r="E47" s="415"/>
      <c r="F47" s="415">
        <v>11.032769406392694</v>
      </c>
      <c r="G47" s="401"/>
      <c r="H47" s="348">
        <v>483235300</v>
      </c>
      <c r="I47" s="348">
        <v>0</v>
      </c>
      <c r="J47" s="326"/>
      <c r="M47" s="209"/>
      <c r="O47" s="298"/>
      <c r="P47" s="244"/>
      <c r="Q47" s="244"/>
      <c r="R47" s="245"/>
      <c r="S47" s="243"/>
      <c r="T47" s="246"/>
      <c r="U47" s="247"/>
      <c r="W47" s="248"/>
      <c r="X47" s="271" t="s">
        <v>469</v>
      </c>
      <c r="Y47" s="271" t="s">
        <v>469</v>
      </c>
      <c r="Z47" s="271" t="s">
        <v>469</v>
      </c>
      <c r="AA47" s="271" t="s">
        <v>469</v>
      </c>
      <c r="AB47" s="271" t="s">
        <v>469</v>
      </c>
      <c r="AC47" s="272" t="s">
        <v>469</v>
      </c>
      <c r="AE47" s="288" t="s">
        <v>469</v>
      </c>
      <c r="AF47" s="292" t="s">
        <v>469</v>
      </c>
      <c r="AG47" s="293" t="s">
        <v>469</v>
      </c>
      <c r="AH47" s="293" t="s">
        <v>469</v>
      </c>
      <c r="AI47" s="293" t="s">
        <v>469</v>
      </c>
      <c r="AJ47" s="293" t="s">
        <v>469</v>
      </c>
      <c r="AK47" s="294" t="s">
        <v>469</v>
      </c>
      <c r="AM47" s="288" t="s">
        <v>469</v>
      </c>
      <c r="AN47" s="292" t="s">
        <v>469</v>
      </c>
      <c r="AO47" s="293" t="s">
        <v>469</v>
      </c>
      <c r="AP47" s="293" t="s">
        <v>469</v>
      </c>
      <c r="AQ47" s="293" t="s">
        <v>469</v>
      </c>
      <c r="AR47" s="293" t="s">
        <v>469</v>
      </c>
      <c r="AS47" s="294" t="s">
        <v>469</v>
      </c>
      <c r="AU47" s="288" t="s">
        <v>469</v>
      </c>
      <c r="AV47" s="292" t="s">
        <v>469</v>
      </c>
      <c r="AW47" s="293" t="s">
        <v>469</v>
      </c>
      <c r="AX47" s="293" t="s">
        <v>469</v>
      </c>
      <c r="AY47" s="293" t="s">
        <v>469</v>
      </c>
      <c r="AZ47" s="293" t="s">
        <v>469</v>
      </c>
      <c r="BA47" s="294" t="s">
        <v>469</v>
      </c>
      <c r="BC47" s="288" t="s">
        <v>469</v>
      </c>
      <c r="BD47" s="292" t="s">
        <v>469</v>
      </c>
      <c r="BE47" s="293" t="s">
        <v>469</v>
      </c>
      <c r="BF47" s="293" t="s">
        <v>469</v>
      </c>
      <c r="BG47" s="293" t="s">
        <v>469</v>
      </c>
      <c r="BH47" s="293" t="s">
        <v>469</v>
      </c>
      <c r="BI47" s="294" t="s">
        <v>469</v>
      </c>
      <c r="BK47" s="288" t="s">
        <v>469</v>
      </c>
      <c r="BL47" s="292" t="s">
        <v>469</v>
      </c>
      <c r="BM47" s="293" t="s">
        <v>469</v>
      </c>
      <c r="BN47" s="293" t="s">
        <v>469</v>
      </c>
      <c r="BO47" s="293" t="s">
        <v>469</v>
      </c>
      <c r="BP47" s="293" t="s">
        <v>469</v>
      </c>
      <c r="BQ47" s="294" t="s">
        <v>469</v>
      </c>
      <c r="BS47" s="288" t="s">
        <v>469</v>
      </c>
      <c r="BT47" s="292" t="s">
        <v>469</v>
      </c>
      <c r="BU47" s="293" t="s">
        <v>469</v>
      </c>
      <c r="BV47" s="293" t="s">
        <v>469</v>
      </c>
      <c r="BW47" s="293" t="s">
        <v>469</v>
      </c>
      <c r="BX47" s="293" t="s">
        <v>469</v>
      </c>
      <c r="BY47" s="294" t="s">
        <v>469</v>
      </c>
      <c r="CA47" s="288" t="s">
        <v>469</v>
      </c>
      <c r="CB47" s="292" t="s">
        <v>469</v>
      </c>
      <c r="CC47" s="293" t="s">
        <v>469</v>
      </c>
      <c r="CD47" s="293" t="s">
        <v>469</v>
      </c>
      <c r="CE47" s="293" t="s">
        <v>469</v>
      </c>
      <c r="CF47" s="293" t="s">
        <v>469</v>
      </c>
      <c r="CG47" s="294" t="s">
        <v>469</v>
      </c>
      <c r="CI47" s="288" t="s">
        <v>469</v>
      </c>
      <c r="CJ47" s="292" t="s">
        <v>469</v>
      </c>
      <c r="CK47" s="293" t="s">
        <v>469</v>
      </c>
      <c r="CL47" s="293" t="s">
        <v>469</v>
      </c>
      <c r="CM47" s="293" t="s">
        <v>469</v>
      </c>
      <c r="CN47" s="293" t="s">
        <v>469</v>
      </c>
      <c r="CO47" s="294" t="s">
        <v>469</v>
      </c>
      <c r="CQ47" s="295"/>
      <c r="CR47" s="209" t="s">
        <v>469</v>
      </c>
    </row>
    <row r="48" spans="2:99" ht="15.75" customHeight="1">
      <c r="B48" s="403"/>
      <c r="C48" s="403"/>
      <c r="D48" s="403"/>
      <c r="E48" s="416"/>
      <c r="F48" s="352"/>
      <c r="G48" s="401"/>
      <c r="H48" s="348"/>
      <c r="I48" s="322"/>
      <c r="J48" s="210"/>
      <c r="M48" s="263" t="e">
        <v>#REF!</v>
      </c>
      <c r="N48" s="207" t="s">
        <v>470</v>
      </c>
      <c r="O48" s="264">
        <v>4000</v>
      </c>
      <c r="P48" s="302" t="s">
        <v>347</v>
      </c>
      <c r="Q48" s="244"/>
      <c r="R48" s="267"/>
      <c r="S48" s="268">
        <v>12978000</v>
      </c>
      <c r="T48" s="268"/>
      <c r="U48" s="269">
        <v>14468227.424749166</v>
      </c>
      <c r="W48" s="248"/>
      <c r="X48" s="271" t="s">
        <v>469</v>
      </c>
      <c r="Y48" s="271" t="s">
        <v>469</v>
      </c>
      <c r="Z48" s="271" t="s">
        <v>469</v>
      </c>
      <c r="AA48" s="271" t="s">
        <v>469</v>
      </c>
      <c r="AB48" s="271" t="s">
        <v>469</v>
      </c>
      <c r="AC48" s="272" t="s">
        <v>469</v>
      </c>
      <c r="AE48" s="288" t="s">
        <v>469</v>
      </c>
      <c r="AF48" s="292" t="s">
        <v>469</v>
      </c>
      <c r="AG48" s="293" t="s">
        <v>469</v>
      </c>
      <c r="AH48" s="293" t="s">
        <v>469</v>
      </c>
      <c r="AI48" s="293" t="s">
        <v>469</v>
      </c>
      <c r="AJ48" s="293" t="s">
        <v>469</v>
      </c>
      <c r="AK48" s="294" t="s">
        <v>469</v>
      </c>
      <c r="AM48" s="288" t="s">
        <v>469</v>
      </c>
      <c r="AN48" s="292" t="s">
        <v>469</v>
      </c>
      <c r="AO48" s="293" t="s">
        <v>469</v>
      </c>
      <c r="AP48" s="293" t="s">
        <v>469</v>
      </c>
      <c r="AQ48" s="293" t="s">
        <v>469</v>
      </c>
      <c r="AR48" s="293" t="s">
        <v>469</v>
      </c>
      <c r="AS48" s="294" t="s">
        <v>469</v>
      </c>
      <c r="AU48" s="288" t="s">
        <v>469</v>
      </c>
      <c r="AV48" s="292" t="s">
        <v>469</v>
      </c>
      <c r="AW48" s="293" t="s">
        <v>469</v>
      </c>
      <c r="AX48" s="293" t="s">
        <v>469</v>
      </c>
      <c r="AY48" s="293" t="s">
        <v>469</v>
      </c>
      <c r="AZ48" s="293" t="s">
        <v>469</v>
      </c>
      <c r="BA48" s="294" t="s">
        <v>469</v>
      </c>
      <c r="BC48" s="288" t="s">
        <v>469</v>
      </c>
      <c r="BD48" s="292" t="s">
        <v>469</v>
      </c>
      <c r="BE48" s="293" t="s">
        <v>469</v>
      </c>
      <c r="BF48" s="293" t="s">
        <v>469</v>
      </c>
      <c r="BG48" s="293" t="s">
        <v>469</v>
      </c>
      <c r="BH48" s="293" t="s">
        <v>469</v>
      </c>
      <c r="BI48" s="294" t="s">
        <v>469</v>
      </c>
      <c r="BK48" s="288" t="s">
        <v>469</v>
      </c>
      <c r="BL48" s="292" t="s">
        <v>469</v>
      </c>
      <c r="BM48" s="293" t="s">
        <v>469</v>
      </c>
      <c r="BN48" s="293" t="s">
        <v>469</v>
      </c>
      <c r="BO48" s="293" t="s">
        <v>469</v>
      </c>
      <c r="BP48" s="293" t="s">
        <v>469</v>
      </c>
      <c r="BQ48" s="294" t="s">
        <v>469</v>
      </c>
      <c r="BS48" s="288" t="s">
        <v>469</v>
      </c>
      <c r="BT48" s="292" t="s">
        <v>469</v>
      </c>
      <c r="BU48" s="293" t="s">
        <v>469</v>
      </c>
      <c r="BV48" s="293" t="s">
        <v>469</v>
      </c>
      <c r="BW48" s="293" t="s">
        <v>469</v>
      </c>
      <c r="BX48" s="293" t="s">
        <v>469</v>
      </c>
      <c r="BY48" s="294" t="s">
        <v>469</v>
      </c>
      <c r="CA48" s="288" t="s">
        <v>469</v>
      </c>
      <c r="CB48" s="292" t="s">
        <v>469</v>
      </c>
      <c r="CC48" s="293" t="s">
        <v>469</v>
      </c>
      <c r="CD48" s="293" t="s">
        <v>469</v>
      </c>
      <c r="CE48" s="293" t="s">
        <v>469</v>
      </c>
      <c r="CF48" s="293" t="s">
        <v>469</v>
      </c>
      <c r="CG48" s="294" t="s">
        <v>469</v>
      </c>
      <c r="CI48" s="288" t="s">
        <v>469</v>
      </c>
      <c r="CJ48" s="292" t="s">
        <v>469</v>
      </c>
      <c r="CK48" s="293" t="s">
        <v>469</v>
      </c>
      <c r="CL48" s="293" t="s">
        <v>469</v>
      </c>
      <c r="CM48" s="293" t="s">
        <v>469</v>
      </c>
      <c r="CN48" s="293" t="s">
        <v>469</v>
      </c>
      <c r="CO48" s="294" t="s">
        <v>469</v>
      </c>
      <c r="CQ48" s="277"/>
      <c r="CR48" s="209" t="s">
        <v>469</v>
      </c>
      <c r="CT48" s="207" t="s">
        <v>468</v>
      </c>
      <c r="CU48" s="278">
        <v>20133100</v>
      </c>
    </row>
    <row r="49" spans="2:96" ht="15.75" customHeight="1">
      <c r="B49" s="403"/>
      <c r="C49" s="403" t="s">
        <v>362</v>
      </c>
      <c r="D49" s="403"/>
      <c r="E49" s="397"/>
      <c r="F49" s="416"/>
      <c r="G49" s="401"/>
      <c r="H49" s="348"/>
      <c r="I49" s="319"/>
      <c r="M49" s="209" t="e">
        <v>#REF!</v>
      </c>
      <c r="O49" s="344">
        <v>4000</v>
      </c>
      <c r="P49" s="345" t="s">
        <v>363</v>
      </c>
      <c r="Q49" s="244"/>
      <c r="R49" s="245"/>
      <c r="S49" s="285">
        <v>0</v>
      </c>
      <c r="T49" s="286">
        <v>1.1148272017837235</v>
      </c>
      <c r="U49" s="287">
        <v>0</v>
      </c>
      <c r="V49" s="208" t="s">
        <v>284</v>
      </c>
      <c r="W49" s="248" t="s">
        <v>210</v>
      </c>
      <c r="X49" s="271" t="s">
        <v>469</v>
      </c>
      <c r="Y49" s="271" t="s">
        <v>469</v>
      </c>
      <c r="Z49" s="271" t="s">
        <v>469</v>
      </c>
      <c r="AA49" s="271" t="e">
        <v>#REF!</v>
      </c>
      <c r="AB49" s="271" t="s">
        <v>469</v>
      </c>
      <c r="AC49" s="272" t="s">
        <v>469</v>
      </c>
      <c r="AE49" s="288">
        <v>0</v>
      </c>
      <c r="AF49" s="292" t="s">
        <v>469</v>
      </c>
      <c r="AG49" s="293" t="s">
        <v>469</v>
      </c>
      <c r="AH49" s="293" t="s">
        <v>469</v>
      </c>
      <c r="AI49" s="293" t="e">
        <v>#REF!</v>
      </c>
      <c r="AJ49" s="293" t="s">
        <v>469</v>
      </c>
      <c r="AK49" s="294" t="s">
        <v>469</v>
      </c>
      <c r="AM49" s="288" t="s">
        <v>469</v>
      </c>
      <c r="AN49" s="292" t="s">
        <v>469</v>
      </c>
      <c r="AO49" s="293" t="s">
        <v>469</v>
      </c>
      <c r="AP49" s="293" t="s">
        <v>469</v>
      </c>
      <c r="AQ49" s="293" t="s">
        <v>469</v>
      </c>
      <c r="AR49" s="293" t="s">
        <v>469</v>
      </c>
      <c r="AS49" s="294" t="s">
        <v>469</v>
      </c>
      <c r="AU49" s="288" t="s">
        <v>469</v>
      </c>
      <c r="AV49" s="292" t="s">
        <v>469</v>
      </c>
      <c r="AW49" s="293" t="s">
        <v>469</v>
      </c>
      <c r="AX49" s="293" t="s">
        <v>469</v>
      </c>
      <c r="AY49" s="293" t="s">
        <v>469</v>
      </c>
      <c r="AZ49" s="293" t="s">
        <v>469</v>
      </c>
      <c r="BA49" s="294" t="s">
        <v>469</v>
      </c>
      <c r="BC49" s="288" t="s">
        <v>469</v>
      </c>
      <c r="BD49" s="292" t="s">
        <v>469</v>
      </c>
      <c r="BE49" s="293" t="s">
        <v>469</v>
      </c>
      <c r="BF49" s="293" t="s">
        <v>469</v>
      </c>
      <c r="BG49" s="293" t="s">
        <v>469</v>
      </c>
      <c r="BH49" s="293" t="s">
        <v>469</v>
      </c>
      <c r="BI49" s="294" t="s">
        <v>469</v>
      </c>
      <c r="BK49" s="288" t="s">
        <v>469</v>
      </c>
      <c r="BL49" s="292" t="s">
        <v>469</v>
      </c>
      <c r="BM49" s="293" t="s">
        <v>469</v>
      </c>
      <c r="BN49" s="293" t="s">
        <v>469</v>
      </c>
      <c r="BO49" s="293" t="s">
        <v>469</v>
      </c>
      <c r="BP49" s="293" t="s">
        <v>469</v>
      </c>
      <c r="BQ49" s="294" t="s">
        <v>469</v>
      </c>
      <c r="BS49" s="288" t="s">
        <v>469</v>
      </c>
      <c r="BT49" s="292" t="s">
        <v>469</v>
      </c>
      <c r="BU49" s="293" t="s">
        <v>469</v>
      </c>
      <c r="BV49" s="293" t="s">
        <v>469</v>
      </c>
      <c r="BW49" s="293" t="s">
        <v>469</v>
      </c>
      <c r="BX49" s="293" t="s">
        <v>469</v>
      </c>
      <c r="BY49" s="294" t="s">
        <v>469</v>
      </c>
      <c r="CA49" s="288" t="s">
        <v>469</v>
      </c>
      <c r="CB49" s="292" t="s">
        <v>469</v>
      </c>
      <c r="CC49" s="293" t="s">
        <v>469</v>
      </c>
      <c r="CD49" s="293" t="s">
        <v>469</v>
      </c>
      <c r="CE49" s="293" t="s">
        <v>469</v>
      </c>
      <c r="CF49" s="293" t="s">
        <v>469</v>
      </c>
      <c r="CG49" s="294" t="s">
        <v>469</v>
      </c>
      <c r="CI49" s="288" t="s">
        <v>469</v>
      </c>
      <c r="CJ49" s="292" t="s">
        <v>469</v>
      </c>
      <c r="CK49" s="293" t="s">
        <v>469</v>
      </c>
      <c r="CL49" s="293" t="s">
        <v>469</v>
      </c>
      <c r="CM49" s="293" t="s">
        <v>469</v>
      </c>
      <c r="CN49" s="293" t="s">
        <v>469</v>
      </c>
      <c r="CO49" s="294" t="s">
        <v>469</v>
      </c>
      <c r="CQ49" s="295" t="e">
        <v>#REF!</v>
      </c>
      <c r="CR49" s="209" t="e">
        <v>#REF!</v>
      </c>
    </row>
    <row r="50" spans="2:96" ht="15.75" customHeight="1">
      <c r="B50" s="403"/>
      <c r="C50" s="403" t="s">
        <v>364</v>
      </c>
      <c r="D50" s="429">
        <v>0.103</v>
      </c>
      <c r="E50" s="352"/>
      <c r="F50" s="397"/>
      <c r="G50" s="401"/>
      <c r="H50" s="348">
        <v>55489000</v>
      </c>
      <c r="I50" s="322">
        <v>0</v>
      </c>
      <c r="J50" s="326"/>
      <c r="M50" s="209" t="e">
        <v>#REF!</v>
      </c>
      <c r="O50" s="344">
        <v>4100</v>
      </c>
      <c r="P50" s="345" t="s">
        <v>365</v>
      </c>
      <c r="Q50" s="244"/>
      <c r="R50" s="245"/>
      <c r="S50" s="285">
        <v>423000</v>
      </c>
      <c r="T50" s="286">
        <v>1.1148272017837235</v>
      </c>
      <c r="U50" s="287">
        <v>471571.90635451506</v>
      </c>
      <c r="V50" s="208" t="s">
        <v>287</v>
      </c>
      <c r="W50" s="248" t="s">
        <v>210</v>
      </c>
      <c r="X50" s="271" t="s">
        <v>469</v>
      </c>
      <c r="Y50" s="271" t="s">
        <v>469</v>
      </c>
      <c r="Z50" s="271" t="s">
        <v>469</v>
      </c>
      <c r="AA50" s="271" t="e">
        <v>#REF!</v>
      </c>
      <c r="AB50" s="271" t="s">
        <v>469</v>
      </c>
      <c r="AC50" s="272" t="s">
        <v>469</v>
      </c>
      <c r="AE50" s="288" t="s">
        <v>469</v>
      </c>
      <c r="AF50" s="292" t="s">
        <v>469</v>
      </c>
      <c r="AG50" s="293" t="s">
        <v>469</v>
      </c>
      <c r="AH50" s="293" t="s">
        <v>469</v>
      </c>
      <c r="AI50" s="293" t="s">
        <v>469</v>
      </c>
      <c r="AJ50" s="293" t="s">
        <v>469</v>
      </c>
      <c r="AK50" s="294" t="s">
        <v>469</v>
      </c>
      <c r="AM50" s="288" t="s">
        <v>469</v>
      </c>
      <c r="AN50" s="292" t="s">
        <v>469</v>
      </c>
      <c r="AO50" s="293" t="s">
        <v>469</v>
      </c>
      <c r="AP50" s="293" t="s">
        <v>469</v>
      </c>
      <c r="AQ50" s="293" t="s">
        <v>469</v>
      </c>
      <c r="AR50" s="293" t="s">
        <v>469</v>
      </c>
      <c r="AS50" s="294" t="s">
        <v>469</v>
      </c>
      <c r="AU50" s="288" t="s">
        <v>469</v>
      </c>
      <c r="AV50" s="292" t="s">
        <v>469</v>
      </c>
      <c r="AW50" s="293" t="s">
        <v>469</v>
      </c>
      <c r="AX50" s="293" t="s">
        <v>469</v>
      </c>
      <c r="AY50" s="293" t="s">
        <v>469</v>
      </c>
      <c r="AZ50" s="293" t="s">
        <v>469</v>
      </c>
      <c r="BA50" s="294" t="s">
        <v>469</v>
      </c>
      <c r="BC50" s="288">
        <v>471571.90635451506</v>
      </c>
      <c r="BD50" s="292" t="s">
        <v>469</v>
      </c>
      <c r="BE50" s="293" t="s">
        <v>469</v>
      </c>
      <c r="BF50" s="293" t="s">
        <v>469</v>
      </c>
      <c r="BG50" s="293" t="e">
        <v>#REF!</v>
      </c>
      <c r="BH50" s="293" t="s">
        <v>469</v>
      </c>
      <c r="BI50" s="294" t="s">
        <v>469</v>
      </c>
      <c r="BK50" s="288" t="s">
        <v>469</v>
      </c>
      <c r="BL50" s="292" t="s">
        <v>469</v>
      </c>
      <c r="BM50" s="293" t="s">
        <v>469</v>
      </c>
      <c r="BN50" s="293" t="s">
        <v>469</v>
      </c>
      <c r="BO50" s="293" t="s">
        <v>469</v>
      </c>
      <c r="BP50" s="293" t="s">
        <v>469</v>
      </c>
      <c r="BQ50" s="294" t="s">
        <v>469</v>
      </c>
      <c r="BS50" s="288" t="s">
        <v>469</v>
      </c>
      <c r="BT50" s="292" t="s">
        <v>469</v>
      </c>
      <c r="BU50" s="293" t="s">
        <v>469</v>
      </c>
      <c r="BV50" s="293" t="s">
        <v>469</v>
      </c>
      <c r="BW50" s="293" t="s">
        <v>469</v>
      </c>
      <c r="BX50" s="293" t="s">
        <v>469</v>
      </c>
      <c r="BY50" s="294" t="s">
        <v>469</v>
      </c>
      <c r="CA50" s="288" t="s">
        <v>469</v>
      </c>
      <c r="CB50" s="292" t="s">
        <v>469</v>
      </c>
      <c r="CC50" s="293" t="s">
        <v>469</v>
      </c>
      <c r="CD50" s="293" t="s">
        <v>469</v>
      </c>
      <c r="CE50" s="293" t="s">
        <v>469</v>
      </c>
      <c r="CF50" s="293" t="s">
        <v>469</v>
      </c>
      <c r="CG50" s="294" t="s">
        <v>469</v>
      </c>
      <c r="CI50" s="288" t="s">
        <v>469</v>
      </c>
      <c r="CJ50" s="292" t="s">
        <v>469</v>
      </c>
      <c r="CK50" s="293" t="s">
        <v>469</v>
      </c>
      <c r="CL50" s="293" t="s">
        <v>469</v>
      </c>
      <c r="CM50" s="293" t="s">
        <v>469</v>
      </c>
      <c r="CN50" s="293" t="s">
        <v>469</v>
      </c>
      <c r="CO50" s="294" t="s">
        <v>469</v>
      </c>
      <c r="CQ50" s="295" t="e">
        <v>#REF!</v>
      </c>
      <c r="CR50" s="209" t="e">
        <v>#REF!</v>
      </c>
    </row>
    <row r="51" spans="2:96" ht="15.75" customHeight="1">
      <c r="B51" s="403"/>
      <c r="C51" s="403" t="s">
        <v>366</v>
      </c>
      <c r="D51" s="352">
        <v>0</v>
      </c>
      <c r="E51" s="352">
        <v>0</v>
      </c>
      <c r="F51" s="397"/>
      <c r="G51" s="401"/>
      <c r="H51" s="348">
        <v>0</v>
      </c>
      <c r="I51" s="322">
        <v>0</v>
      </c>
      <c r="M51" s="209" t="e">
        <v>#REF!</v>
      </c>
      <c r="O51" s="344">
        <v>4110</v>
      </c>
      <c r="P51" s="345" t="s">
        <v>367</v>
      </c>
      <c r="Q51" s="244"/>
      <c r="R51" s="245"/>
      <c r="S51" s="285">
        <v>1620000</v>
      </c>
      <c r="T51" s="286">
        <v>1.1148272017837235</v>
      </c>
      <c r="U51" s="287">
        <v>1806020.066889632</v>
      </c>
      <c r="V51" s="208" t="s">
        <v>286</v>
      </c>
      <c r="W51" s="248" t="s">
        <v>280</v>
      </c>
      <c r="X51" s="271" t="s">
        <v>469</v>
      </c>
      <c r="Y51" s="271" t="e">
        <v>#REF!</v>
      </c>
      <c r="Z51" s="271" t="s">
        <v>469</v>
      </c>
      <c r="AA51" s="271" t="s">
        <v>469</v>
      </c>
      <c r="AB51" s="271" t="s">
        <v>469</v>
      </c>
      <c r="AC51" s="272" t="s">
        <v>469</v>
      </c>
      <c r="AE51" s="288" t="s">
        <v>469</v>
      </c>
      <c r="AF51" s="292" t="s">
        <v>469</v>
      </c>
      <c r="AG51" s="293" t="s">
        <v>469</v>
      </c>
      <c r="AH51" s="293" t="s">
        <v>469</v>
      </c>
      <c r="AI51" s="293" t="s">
        <v>469</v>
      </c>
      <c r="AJ51" s="293" t="s">
        <v>469</v>
      </c>
      <c r="AK51" s="294" t="s">
        <v>469</v>
      </c>
      <c r="AM51" s="288" t="s">
        <v>469</v>
      </c>
      <c r="AN51" s="292" t="s">
        <v>469</v>
      </c>
      <c r="AO51" s="293" t="s">
        <v>469</v>
      </c>
      <c r="AP51" s="293" t="s">
        <v>469</v>
      </c>
      <c r="AQ51" s="293" t="s">
        <v>469</v>
      </c>
      <c r="AR51" s="293" t="s">
        <v>469</v>
      </c>
      <c r="AS51" s="294" t="s">
        <v>469</v>
      </c>
      <c r="AU51" s="288">
        <v>1806020.066889632</v>
      </c>
      <c r="AV51" s="292" t="s">
        <v>469</v>
      </c>
      <c r="AW51" s="293" t="e">
        <v>#REF!</v>
      </c>
      <c r="AX51" s="293" t="s">
        <v>469</v>
      </c>
      <c r="AY51" s="293" t="s">
        <v>469</v>
      </c>
      <c r="AZ51" s="293" t="s">
        <v>469</v>
      </c>
      <c r="BA51" s="294" t="s">
        <v>469</v>
      </c>
      <c r="BC51" s="288" t="s">
        <v>469</v>
      </c>
      <c r="BD51" s="292" t="s">
        <v>469</v>
      </c>
      <c r="BE51" s="293" t="s">
        <v>469</v>
      </c>
      <c r="BF51" s="293" t="s">
        <v>469</v>
      </c>
      <c r="BG51" s="293" t="s">
        <v>469</v>
      </c>
      <c r="BH51" s="293" t="s">
        <v>469</v>
      </c>
      <c r="BI51" s="294" t="s">
        <v>469</v>
      </c>
      <c r="BK51" s="288" t="s">
        <v>469</v>
      </c>
      <c r="BL51" s="292" t="s">
        <v>469</v>
      </c>
      <c r="BM51" s="293" t="s">
        <v>469</v>
      </c>
      <c r="BN51" s="293" t="s">
        <v>469</v>
      </c>
      <c r="BO51" s="293" t="s">
        <v>469</v>
      </c>
      <c r="BP51" s="293" t="s">
        <v>469</v>
      </c>
      <c r="BQ51" s="294" t="s">
        <v>469</v>
      </c>
      <c r="BS51" s="288" t="s">
        <v>469</v>
      </c>
      <c r="BT51" s="292" t="s">
        <v>469</v>
      </c>
      <c r="BU51" s="293" t="s">
        <v>469</v>
      </c>
      <c r="BV51" s="293" t="s">
        <v>469</v>
      </c>
      <c r="BW51" s="293" t="s">
        <v>469</v>
      </c>
      <c r="BX51" s="293" t="s">
        <v>469</v>
      </c>
      <c r="BY51" s="294" t="s">
        <v>469</v>
      </c>
      <c r="CA51" s="288" t="s">
        <v>469</v>
      </c>
      <c r="CB51" s="292" t="s">
        <v>469</v>
      </c>
      <c r="CC51" s="293" t="s">
        <v>469</v>
      </c>
      <c r="CD51" s="293" t="s">
        <v>469</v>
      </c>
      <c r="CE51" s="293" t="s">
        <v>469</v>
      </c>
      <c r="CF51" s="293" t="s">
        <v>469</v>
      </c>
      <c r="CG51" s="294" t="s">
        <v>469</v>
      </c>
      <c r="CI51" s="288" t="s">
        <v>469</v>
      </c>
      <c r="CJ51" s="292" t="s">
        <v>469</v>
      </c>
      <c r="CK51" s="293" t="s">
        <v>469</v>
      </c>
      <c r="CL51" s="293" t="s">
        <v>469</v>
      </c>
      <c r="CM51" s="293" t="s">
        <v>469</v>
      </c>
      <c r="CN51" s="293" t="s">
        <v>469</v>
      </c>
      <c r="CO51" s="294" t="s">
        <v>469</v>
      </c>
      <c r="CQ51" s="295" t="e">
        <v>#REF!</v>
      </c>
      <c r="CR51" s="209" t="e">
        <v>#REF!</v>
      </c>
    </row>
    <row r="52" spans="2:96" ht="15.75" customHeight="1">
      <c r="B52" s="403"/>
      <c r="C52" s="403" t="s">
        <v>368</v>
      </c>
      <c r="D52" s="352">
        <v>0</v>
      </c>
      <c r="E52" s="352">
        <v>0</v>
      </c>
      <c r="F52" s="397"/>
      <c r="G52" s="401"/>
      <c r="H52" s="348">
        <v>0</v>
      </c>
      <c r="I52" s="322">
        <v>0</v>
      </c>
      <c r="J52" s="326"/>
      <c r="M52" s="209" t="e">
        <v>#REF!</v>
      </c>
      <c r="O52" s="344">
        <v>4190</v>
      </c>
      <c r="P52" s="345" t="s">
        <v>369</v>
      </c>
      <c r="Q52" s="244"/>
      <c r="R52" s="245"/>
      <c r="S52" s="285">
        <v>159000</v>
      </c>
      <c r="T52" s="286">
        <v>1.1148272017837235</v>
      </c>
      <c r="U52" s="287">
        <v>177257.52508361204</v>
      </c>
      <c r="V52" s="208" t="s">
        <v>285</v>
      </c>
      <c r="W52" s="248" t="s">
        <v>210</v>
      </c>
      <c r="X52" s="271" t="s">
        <v>469</v>
      </c>
      <c r="Y52" s="271" t="s">
        <v>469</v>
      </c>
      <c r="Z52" s="271" t="s">
        <v>469</v>
      </c>
      <c r="AA52" s="271" t="e">
        <v>#REF!</v>
      </c>
      <c r="AB52" s="271" t="s">
        <v>469</v>
      </c>
      <c r="AC52" s="272" t="s">
        <v>469</v>
      </c>
      <c r="AE52" s="288" t="s">
        <v>469</v>
      </c>
      <c r="AF52" s="292" t="s">
        <v>469</v>
      </c>
      <c r="AG52" s="293" t="s">
        <v>469</v>
      </c>
      <c r="AH52" s="293" t="s">
        <v>469</v>
      </c>
      <c r="AI52" s="293" t="s">
        <v>469</v>
      </c>
      <c r="AJ52" s="293" t="s">
        <v>469</v>
      </c>
      <c r="AK52" s="294" t="s">
        <v>469</v>
      </c>
      <c r="AM52" s="288">
        <v>177257.52508361204</v>
      </c>
      <c r="AN52" s="292" t="s">
        <v>469</v>
      </c>
      <c r="AO52" s="293" t="s">
        <v>469</v>
      </c>
      <c r="AP52" s="293" t="s">
        <v>469</v>
      </c>
      <c r="AQ52" s="293" t="e">
        <v>#REF!</v>
      </c>
      <c r="AR52" s="293" t="s">
        <v>469</v>
      </c>
      <c r="AS52" s="294" t="s">
        <v>469</v>
      </c>
      <c r="AU52" s="288" t="s">
        <v>469</v>
      </c>
      <c r="AV52" s="292" t="s">
        <v>469</v>
      </c>
      <c r="AW52" s="293" t="s">
        <v>469</v>
      </c>
      <c r="AX52" s="293" t="s">
        <v>469</v>
      </c>
      <c r="AY52" s="293" t="s">
        <v>469</v>
      </c>
      <c r="AZ52" s="293" t="s">
        <v>469</v>
      </c>
      <c r="BA52" s="294" t="s">
        <v>469</v>
      </c>
      <c r="BC52" s="288" t="s">
        <v>469</v>
      </c>
      <c r="BD52" s="292" t="s">
        <v>469</v>
      </c>
      <c r="BE52" s="293" t="s">
        <v>469</v>
      </c>
      <c r="BF52" s="293" t="s">
        <v>469</v>
      </c>
      <c r="BG52" s="293" t="s">
        <v>469</v>
      </c>
      <c r="BH52" s="293" t="s">
        <v>469</v>
      </c>
      <c r="BI52" s="294" t="s">
        <v>469</v>
      </c>
      <c r="BK52" s="288" t="s">
        <v>469</v>
      </c>
      <c r="BL52" s="292" t="s">
        <v>469</v>
      </c>
      <c r="BM52" s="293" t="s">
        <v>469</v>
      </c>
      <c r="BN52" s="293" t="s">
        <v>469</v>
      </c>
      <c r="BO52" s="293" t="s">
        <v>469</v>
      </c>
      <c r="BP52" s="293" t="s">
        <v>469</v>
      </c>
      <c r="BQ52" s="294" t="s">
        <v>469</v>
      </c>
      <c r="BS52" s="288" t="s">
        <v>469</v>
      </c>
      <c r="BT52" s="292" t="s">
        <v>469</v>
      </c>
      <c r="BU52" s="293" t="s">
        <v>469</v>
      </c>
      <c r="BV52" s="293" t="s">
        <v>469</v>
      </c>
      <c r="BW52" s="293" t="s">
        <v>469</v>
      </c>
      <c r="BX52" s="293" t="s">
        <v>469</v>
      </c>
      <c r="BY52" s="294" t="s">
        <v>469</v>
      </c>
      <c r="CA52" s="288" t="s">
        <v>469</v>
      </c>
      <c r="CB52" s="292" t="s">
        <v>469</v>
      </c>
      <c r="CC52" s="293" t="s">
        <v>469</v>
      </c>
      <c r="CD52" s="293" t="s">
        <v>469</v>
      </c>
      <c r="CE52" s="293" t="s">
        <v>469</v>
      </c>
      <c r="CF52" s="293" t="s">
        <v>469</v>
      </c>
      <c r="CG52" s="294" t="s">
        <v>469</v>
      </c>
      <c r="CI52" s="288" t="s">
        <v>469</v>
      </c>
      <c r="CJ52" s="292" t="s">
        <v>469</v>
      </c>
      <c r="CK52" s="293" t="s">
        <v>469</v>
      </c>
      <c r="CL52" s="293" t="s">
        <v>469</v>
      </c>
      <c r="CM52" s="293" t="s">
        <v>469</v>
      </c>
      <c r="CN52" s="293" t="s">
        <v>469</v>
      </c>
      <c r="CO52" s="294" t="s">
        <v>469</v>
      </c>
      <c r="CQ52" s="295" t="e">
        <v>#REF!</v>
      </c>
      <c r="CR52" s="209" t="e">
        <v>#REF!</v>
      </c>
    </row>
    <row r="53" spans="2:96" ht="15.75" customHeight="1">
      <c r="B53" s="422"/>
      <c r="C53" s="403" t="s">
        <v>370</v>
      </c>
      <c r="D53" s="352">
        <v>0</v>
      </c>
      <c r="E53" s="352">
        <v>0</v>
      </c>
      <c r="F53" s="397"/>
      <c r="G53" s="401"/>
      <c r="H53" s="348">
        <v>0</v>
      </c>
      <c r="I53" s="322">
        <v>0</v>
      </c>
      <c r="J53" s="326"/>
      <c r="M53" s="209" t="e">
        <v>#REF!</v>
      </c>
      <c r="O53" s="344">
        <v>4200</v>
      </c>
      <c r="P53" s="345" t="s">
        <v>371</v>
      </c>
      <c r="Q53" s="349"/>
      <c r="R53" s="350"/>
      <c r="S53" s="351">
        <v>36000</v>
      </c>
      <c r="T53" s="286">
        <v>1.1148272017837235</v>
      </c>
      <c r="U53" s="287">
        <v>40133.77926421405</v>
      </c>
      <c r="V53" s="208" t="s">
        <v>285</v>
      </c>
      <c r="W53" s="248" t="s">
        <v>282</v>
      </c>
      <c r="X53" s="271" t="s">
        <v>469</v>
      </c>
      <c r="Y53" s="271" t="s">
        <v>469</v>
      </c>
      <c r="Z53" s="271" t="s">
        <v>469</v>
      </c>
      <c r="AA53" s="271" t="s">
        <v>469</v>
      </c>
      <c r="AB53" s="271" t="e">
        <v>#REF!</v>
      </c>
      <c r="AC53" s="272" t="s">
        <v>469</v>
      </c>
      <c r="AE53" s="288" t="s">
        <v>469</v>
      </c>
      <c r="AF53" s="292" t="s">
        <v>469</v>
      </c>
      <c r="AG53" s="293" t="s">
        <v>469</v>
      </c>
      <c r="AH53" s="293" t="s">
        <v>469</v>
      </c>
      <c r="AI53" s="293" t="s">
        <v>469</v>
      </c>
      <c r="AJ53" s="293" t="s">
        <v>469</v>
      </c>
      <c r="AK53" s="294" t="s">
        <v>469</v>
      </c>
      <c r="AM53" s="288">
        <v>40133.77926421405</v>
      </c>
      <c r="AN53" s="292" t="s">
        <v>469</v>
      </c>
      <c r="AO53" s="293" t="s">
        <v>469</v>
      </c>
      <c r="AP53" s="293" t="s">
        <v>469</v>
      </c>
      <c r="AQ53" s="293" t="s">
        <v>469</v>
      </c>
      <c r="AR53" s="293" t="e">
        <v>#REF!</v>
      </c>
      <c r="AS53" s="294" t="s">
        <v>469</v>
      </c>
      <c r="AU53" s="288" t="s">
        <v>469</v>
      </c>
      <c r="AV53" s="292" t="s">
        <v>469</v>
      </c>
      <c r="AW53" s="293" t="s">
        <v>469</v>
      </c>
      <c r="AX53" s="293" t="s">
        <v>469</v>
      </c>
      <c r="AY53" s="293" t="s">
        <v>469</v>
      </c>
      <c r="AZ53" s="293" t="s">
        <v>469</v>
      </c>
      <c r="BA53" s="294" t="s">
        <v>469</v>
      </c>
      <c r="BC53" s="288" t="s">
        <v>469</v>
      </c>
      <c r="BD53" s="292" t="s">
        <v>469</v>
      </c>
      <c r="BE53" s="293" t="s">
        <v>469</v>
      </c>
      <c r="BF53" s="293" t="s">
        <v>469</v>
      </c>
      <c r="BG53" s="293" t="s">
        <v>469</v>
      </c>
      <c r="BH53" s="293" t="s">
        <v>469</v>
      </c>
      <c r="BI53" s="294" t="s">
        <v>469</v>
      </c>
      <c r="BK53" s="288" t="s">
        <v>469</v>
      </c>
      <c r="BL53" s="292" t="s">
        <v>469</v>
      </c>
      <c r="BM53" s="293" t="s">
        <v>469</v>
      </c>
      <c r="BN53" s="293" t="s">
        <v>469</v>
      </c>
      <c r="BO53" s="293" t="s">
        <v>469</v>
      </c>
      <c r="BP53" s="293" t="s">
        <v>469</v>
      </c>
      <c r="BQ53" s="294" t="s">
        <v>469</v>
      </c>
      <c r="BS53" s="288" t="s">
        <v>469</v>
      </c>
      <c r="BT53" s="292" t="s">
        <v>469</v>
      </c>
      <c r="BU53" s="293" t="s">
        <v>469</v>
      </c>
      <c r="BV53" s="293" t="s">
        <v>469</v>
      </c>
      <c r="BW53" s="293" t="s">
        <v>469</v>
      </c>
      <c r="BX53" s="293" t="s">
        <v>469</v>
      </c>
      <c r="BY53" s="294" t="s">
        <v>469</v>
      </c>
      <c r="CA53" s="288" t="s">
        <v>469</v>
      </c>
      <c r="CB53" s="292" t="s">
        <v>469</v>
      </c>
      <c r="CC53" s="293" t="s">
        <v>469</v>
      </c>
      <c r="CD53" s="293" t="s">
        <v>469</v>
      </c>
      <c r="CE53" s="293" t="s">
        <v>469</v>
      </c>
      <c r="CF53" s="293" t="s">
        <v>469</v>
      </c>
      <c r="CG53" s="294" t="s">
        <v>469</v>
      </c>
      <c r="CI53" s="288" t="s">
        <v>469</v>
      </c>
      <c r="CJ53" s="292" t="s">
        <v>469</v>
      </c>
      <c r="CK53" s="293" t="s">
        <v>469</v>
      </c>
      <c r="CL53" s="293" t="s">
        <v>469</v>
      </c>
      <c r="CM53" s="293" t="s">
        <v>469</v>
      </c>
      <c r="CN53" s="293" t="s">
        <v>469</v>
      </c>
      <c r="CO53" s="294" t="s">
        <v>469</v>
      </c>
      <c r="CQ53" s="295" t="e">
        <v>#REF!</v>
      </c>
      <c r="CR53" s="209" t="e">
        <v>#REF!</v>
      </c>
    </row>
    <row r="54" spans="2:96" ht="15.75" customHeight="1">
      <c r="B54" s="422"/>
      <c r="C54" s="403" t="s">
        <v>372</v>
      </c>
      <c r="D54" s="352">
        <v>0</v>
      </c>
      <c r="E54" s="352">
        <v>0</v>
      </c>
      <c r="F54" s="397"/>
      <c r="G54" s="401"/>
      <c r="H54" s="348">
        <v>0</v>
      </c>
      <c r="I54" s="322">
        <v>0</v>
      </c>
      <c r="M54" s="209" t="e">
        <v>#REF!</v>
      </c>
      <c r="O54" s="344">
        <v>4220</v>
      </c>
      <c r="P54" s="345" t="s">
        <v>373</v>
      </c>
      <c r="Q54" s="244"/>
      <c r="R54" s="245"/>
      <c r="S54" s="285">
        <v>60000</v>
      </c>
      <c r="T54" s="286">
        <v>1.1148272017837235</v>
      </c>
      <c r="U54" s="287">
        <v>66889.63210702341</v>
      </c>
      <c r="V54" s="208" t="s">
        <v>285</v>
      </c>
      <c r="W54" s="248" t="s">
        <v>279</v>
      </c>
      <c r="X54" s="271" t="e">
        <v>#REF!</v>
      </c>
      <c r="Y54" s="271" t="s">
        <v>469</v>
      </c>
      <c r="Z54" s="271" t="s">
        <v>469</v>
      </c>
      <c r="AA54" s="271" t="s">
        <v>469</v>
      </c>
      <c r="AB54" s="271" t="s">
        <v>469</v>
      </c>
      <c r="AC54" s="272" t="s">
        <v>469</v>
      </c>
      <c r="AE54" s="288" t="s">
        <v>469</v>
      </c>
      <c r="AF54" s="292" t="s">
        <v>469</v>
      </c>
      <c r="AG54" s="293" t="s">
        <v>469</v>
      </c>
      <c r="AH54" s="293" t="s">
        <v>469</v>
      </c>
      <c r="AI54" s="293" t="s">
        <v>469</v>
      </c>
      <c r="AJ54" s="293" t="s">
        <v>469</v>
      </c>
      <c r="AK54" s="294" t="s">
        <v>469</v>
      </c>
      <c r="AM54" s="288">
        <v>66889.63210702341</v>
      </c>
      <c r="AN54" s="292" t="e">
        <v>#REF!</v>
      </c>
      <c r="AO54" s="293" t="s">
        <v>469</v>
      </c>
      <c r="AP54" s="293" t="s">
        <v>469</v>
      </c>
      <c r="AQ54" s="293" t="s">
        <v>469</v>
      </c>
      <c r="AR54" s="293" t="s">
        <v>469</v>
      </c>
      <c r="AS54" s="294" t="s">
        <v>469</v>
      </c>
      <c r="AU54" s="288" t="s">
        <v>469</v>
      </c>
      <c r="AV54" s="292" t="s">
        <v>469</v>
      </c>
      <c r="AW54" s="293" t="s">
        <v>469</v>
      </c>
      <c r="AX54" s="293" t="s">
        <v>469</v>
      </c>
      <c r="AY54" s="293" t="s">
        <v>469</v>
      </c>
      <c r="AZ54" s="293" t="s">
        <v>469</v>
      </c>
      <c r="BA54" s="294" t="s">
        <v>469</v>
      </c>
      <c r="BC54" s="288" t="s">
        <v>469</v>
      </c>
      <c r="BD54" s="292" t="s">
        <v>469</v>
      </c>
      <c r="BE54" s="293" t="s">
        <v>469</v>
      </c>
      <c r="BF54" s="293" t="s">
        <v>469</v>
      </c>
      <c r="BG54" s="293" t="s">
        <v>469</v>
      </c>
      <c r="BH54" s="293" t="s">
        <v>469</v>
      </c>
      <c r="BI54" s="294" t="s">
        <v>469</v>
      </c>
      <c r="BK54" s="288" t="s">
        <v>469</v>
      </c>
      <c r="BL54" s="292" t="s">
        <v>469</v>
      </c>
      <c r="BM54" s="293" t="s">
        <v>469</v>
      </c>
      <c r="BN54" s="293" t="s">
        <v>469</v>
      </c>
      <c r="BO54" s="293" t="s">
        <v>469</v>
      </c>
      <c r="BP54" s="293" t="s">
        <v>469</v>
      </c>
      <c r="BQ54" s="294" t="s">
        <v>469</v>
      </c>
      <c r="BS54" s="288" t="s">
        <v>469</v>
      </c>
      <c r="BT54" s="292" t="s">
        <v>469</v>
      </c>
      <c r="BU54" s="293" t="s">
        <v>469</v>
      </c>
      <c r="BV54" s="293" t="s">
        <v>469</v>
      </c>
      <c r="BW54" s="293" t="s">
        <v>469</v>
      </c>
      <c r="BX54" s="293" t="s">
        <v>469</v>
      </c>
      <c r="BY54" s="294" t="s">
        <v>469</v>
      </c>
      <c r="CA54" s="288" t="s">
        <v>469</v>
      </c>
      <c r="CB54" s="292" t="s">
        <v>469</v>
      </c>
      <c r="CC54" s="293" t="s">
        <v>469</v>
      </c>
      <c r="CD54" s="293" t="s">
        <v>469</v>
      </c>
      <c r="CE54" s="293" t="s">
        <v>469</v>
      </c>
      <c r="CF54" s="293" t="s">
        <v>469</v>
      </c>
      <c r="CG54" s="294" t="s">
        <v>469</v>
      </c>
      <c r="CI54" s="288" t="s">
        <v>469</v>
      </c>
      <c r="CJ54" s="292" t="s">
        <v>469</v>
      </c>
      <c r="CK54" s="293" t="s">
        <v>469</v>
      </c>
      <c r="CL54" s="293" t="s">
        <v>469</v>
      </c>
      <c r="CM54" s="293" t="s">
        <v>469</v>
      </c>
      <c r="CN54" s="293" t="s">
        <v>469</v>
      </c>
      <c r="CO54" s="294" t="s">
        <v>469</v>
      </c>
      <c r="CQ54" s="295" t="e">
        <v>#REF!</v>
      </c>
      <c r="CR54" s="209" t="e">
        <v>#REF!</v>
      </c>
    </row>
    <row r="55" spans="2:97" ht="15.75" customHeight="1">
      <c r="B55" s="422"/>
      <c r="C55" s="403" t="s">
        <v>357</v>
      </c>
      <c r="D55" s="352">
        <v>0.103</v>
      </c>
      <c r="E55" s="352">
        <v>0</v>
      </c>
      <c r="F55" s="397"/>
      <c r="G55" s="401"/>
      <c r="H55" s="348">
        <v>1305240</v>
      </c>
      <c r="I55" s="322">
        <v>0</v>
      </c>
      <c r="J55" s="326"/>
      <c r="L55" s="353"/>
      <c r="M55" s="209" t="e">
        <v>#REF!</v>
      </c>
      <c r="O55" s="344">
        <v>4300</v>
      </c>
      <c r="P55" s="345" t="s">
        <v>374</v>
      </c>
      <c r="Q55" s="244"/>
      <c r="R55" s="245"/>
      <c r="S55" s="285">
        <v>0</v>
      </c>
      <c r="T55" s="286">
        <v>1.1148272017837235</v>
      </c>
      <c r="U55" s="287">
        <v>0</v>
      </c>
      <c r="V55" s="208" t="s">
        <v>285</v>
      </c>
      <c r="W55" s="248" t="s">
        <v>210</v>
      </c>
      <c r="X55" s="271" t="s">
        <v>469</v>
      </c>
      <c r="Y55" s="271" t="s">
        <v>469</v>
      </c>
      <c r="Z55" s="271" t="s">
        <v>469</v>
      </c>
      <c r="AA55" s="271" t="e">
        <v>#REF!</v>
      </c>
      <c r="AB55" s="271" t="s">
        <v>469</v>
      </c>
      <c r="AC55" s="272" t="s">
        <v>469</v>
      </c>
      <c r="AE55" s="288" t="s">
        <v>469</v>
      </c>
      <c r="AF55" s="292" t="s">
        <v>469</v>
      </c>
      <c r="AG55" s="293" t="s">
        <v>469</v>
      </c>
      <c r="AH55" s="293" t="s">
        <v>469</v>
      </c>
      <c r="AI55" s="293" t="s">
        <v>469</v>
      </c>
      <c r="AJ55" s="293" t="s">
        <v>469</v>
      </c>
      <c r="AK55" s="294" t="s">
        <v>469</v>
      </c>
      <c r="AM55" s="288">
        <v>0</v>
      </c>
      <c r="AN55" s="292" t="s">
        <v>469</v>
      </c>
      <c r="AO55" s="293" t="s">
        <v>469</v>
      </c>
      <c r="AP55" s="293" t="s">
        <v>469</v>
      </c>
      <c r="AQ55" s="293" t="e">
        <v>#REF!</v>
      </c>
      <c r="AR55" s="293" t="s">
        <v>469</v>
      </c>
      <c r="AS55" s="294" t="s">
        <v>469</v>
      </c>
      <c r="AU55" s="288" t="s">
        <v>469</v>
      </c>
      <c r="AV55" s="292" t="s">
        <v>469</v>
      </c>
      <c r="AW55" s="293" t="s">
        <v>469</v>
      </c>
      <c r="AX55" s="293" t="s">
        <v>469</v>
      </c>
      <c r="AY55" s="293" t="s">
        <v>469</v>
      </c>
      <c r="AZ55" s="293" t="s">
        <v>469</v>
      </c>
      <c r="BA55" s="294" t="s">
        <v>469</v>
      </c>
      <c r="BC55" s="288" t="s">
        <v>469</v>
      </c>
      <c r="BD55" s="292" t="s">
        <v>469</v>
      </c>
      <c r="BE55" s="293" t="s">
        <v>469</v>
      </c>
      <c r="BF55" s="293" t="s">
        <v>469</v>
      </c>
      <c r="BG55" s="293" t="s">
        <v>469</v>
      </c>
      <c r="BH55" s="293" t="s">
        <v>469</v>
      </c>
      <c r="BI55" s="294" t="s">
        <v>469</v>
      </c>
      <c r="BK55" s="288" t="s">
        <v>469</v>
      </c>
      <c r="BL55" s="292" t="s">
        <v>469</v>
      </c>
      <c r="BM55" s="293" t="s">
        <v>469</v>
      </c>
      <c r="BN55" s="293" t="s">
        <v>469</v>
      </c>
      <c r="BO55" s="293" t="s">
        <v>469</v>
      </c>
      <c r="BP55" s="293" t="s">
        <v>469</v>
      </c>
      <c r="BQ55" s="294" t="s">
        <v>469</v>
      </c>
      <c r="BS55" s="288" t="s">
        <v>469</v>
      </c>
      <c r="BT55" s="292" t="s">
        <v>469</v>
      </c>
      <c r="BU55" s="293" t="s">
        <v>469</v>
      </c>
      <c r="BV55" s="293" t="s">
        <v>469</v>
      </c>
      <c r="BW55" s="293" t="s">
        <v>469</v>
      </c>
      <c r="BX55" s="293" t="s">
        <v>469</v>
      </c>
      <c r="BY55" s="294" t="s">
        <v>469</v>
      </c>
      <c r="CA55" s="288" t="s">
        <v>469</v>
      </c>
      <c r="CB55" s="292" t="s">
        <v>469</v>
      </c>
      <c r="CC55" s="293" t="s">
        <v>469</v>
      </c>
      <c r="CD55" s="293" t="s">
        <v>469</v>
      </c>
      <c r="CE55" s="293" t="s">
        <v>469</v>
      </c>
      <c r="CF55" s="293" t="s">
        <v>469</v>
      </c>
      <c r="CG55" s="294" t="s">
        <v>469</v>
      </c>
      <c r="CI55" s="288" t="s">
        <v>469</v>
      </c>
      <c r="CJ55" s="292" t="s">
        <v>469</v>
      </c>
      <c r="CK55" s="293" t="s">
        <v>469</v>
      </c>
      <c r="CL55" s="293" t="s">
        <v>469</v>
      </c>
      <c r="CM55" s="293" t="s">
        <v>469</v>
      </c>
      <c r="CN55" s="293" t="s">
        <v>469</v>
      </c>
      <c r="CO55" s="294" t="s">
        <v>469</v>
      </c>
      <c r="CQ55" s="295" t="e">
        <v>#REF!</v>
      </c>
      <c r="CR55" s="209" t="e">
        <v>#REF!</v>
      </c>
      <c r="CS55" s="354"/>
    </row>
    <row r="56" spans="2:96" ht="15.75" customHeight="1">
      <c r="B56" s="403"/>
      <c r="C56" s="403" t="s">
        <v>359</v>
      </c>
      <c r="D56" s="355">
        <v>0.103</v>
      </c>
      <c r="E56" s="355">
        <v>0</v>
      </c>
      <c r="F56" s="416"/>
      <c r="G56" s="401"/>
      <c r="H56" s="348">
        <v>54183320</v>
      </c>
      <c r="I56" s="322">
        <v>0</v>
      </c>
      <c r="J56" s="210"/>
      <c r="M56" s="209" t="e">
        <v>#REF!</v>
      </c>
      <c r="O56" s="310">
        <v>4400</v>
      </c>
      <c r="P56" s="335" t="s">
        <v>375</v>
      </c>
      <c r="Q56" s="244"/>
      <c r="R56" s="245"/>
      <c r="S56" s="285">
        <v>600000</v>
      </c>
      <c r="T56" s="286">
        <v>1.1148272017837235</v>
      </c>
      <c r="U56" s="287">
        <v>668896.3210702341</v>
      </c>
      <c r="V56" s="208" t="s">
        <v>285</v>
      </c>
      <c r="W56" s="248" t="s">
        <v>283</v>
      </c>
      <c r="X56" s="271" t="s">
        <v>469</v>
      </c>
      <c r="Y56" s="271" t="s">
        <v>469</v>
      </c>
      <c r="Z56" s="271" t="s">
        <v>469</v>
      </c>
      <c r="AA56" s="271" t="s">
        <v>469</v>
      </c>
      <c r="AB56" s="271" t="s">
        <v>469</v>
      </c>
      <c r="AC56" s="272" t="e">
        <v>#REF!</v>
      </c>
      <c r="AE56" s="288" t="s">
        <v>469</v>
      </c>
      <c r="AF56" s="292" t="s">
        <v>469</v>
      </c>
      <c r="AG56" s="293" t="s">
        <v>469</v>
      </c>
      <c r="AH56" s="293" t="s">
        <v>469</v>
      </c>
      <c r="AI56" s="293" t="s">
        <v>469</v>
      </c>
      <c r="AJ56" s="293" t="s">
        <v>469</v>
      </c>
      <c r="AK56" s="294" t="s">
        <v>469</v>
      </c>
      <c r="AM56" s="288">
        <v>668896.3210702341</v>
      </c>
      <c r="AN56" s="292" t="s">
        <v>469</v>
      </c>
      <c r="AO56" s="293" t="s">
        <v>469</v>
      </c>
      <c r="AP56" s="293" t="s">
        <v>469</v>
      </c>
      <c r="AQ56" s="293" t="s">
        <v>469</v>
      </c>
      <c r="AR56" s="293" t="s">
        <v>469</v>
      </c>
      <c r="AS56" s="294" t="e">
        <v>#REF!</v>
      </c>
      <c r="AU56" s="288" t="s">
        <v>469</v>
      </c>
      <c r="AV56" s="292" t="s">
        <v>469</v>
      </c>
      <c r="AW56" s="293" t="s">
        <v>469</v>
      </c>
      <c r="AX56" s="293" t="s">
        <v>469</v>
      </c>
      <c r="AY56" s="293" t="s">
        <v>469</v>
      </c>
      <c r="AZ56" s="293" t="s">
        <v>469</v>
      </c>
      <c r="BA56" s="294" t="s">
        <v>469</v>
      </c>
      <c r="BC56" s="288" t="s">
        <v>469</v>
      </c>
      <c r="BD56" s="292" t="s">
        <v>469</v>
      </c>
      <c r="BE56" s="293" t="s">
        <v>469</v>
      </c>
      <c r="BF56" s="293" t="s">
        <v>469</v>
      </c>
      <c r="BG56" s="293" t="s">
        <v>469</v>
      </c>
      <c r="BH56" s="293" t="s">
        <v>469</v>
      </c>
      <c r="BI56" s="294" t="s">
        <v>469</v>
      </c>
      <c r="BK56" s="288" t="s">
        <v>469</v>
      </c>
      <c r="BL56" s="292" t="s">
        <v>469</v>
      </c>
      <c r="BM56" s="293" t="s">
        <v>469</v>
      </c>
      <c r="BN56" s="293" t="s">
        <v>469</v>
      </c>
      <c r="BO56" s="293" t="s">
        <v>469</v>
      </c>
      <c r="BP56" s="293" t="s">
        <v>469</v>
      </c>
      <c r="BQ56" s="294" t="s">
        <v>469</v>
      </c>
      <c r="BS56" s="288" t="s">
        <v>469</v>
      </c>
      <c r="BT56" s="292" t="s">
        <v>469</v>
      </c>
      <c r="BU56" s="293" t="s">
        <v>469</v>
      </c>
      <c r="BV56" s="293" t="s">
        <v>469</v>
      </c>
      <c r="BW56" s="293" t="s">
        <v>469</v>
      </c>
      <c r="BX56" s="293" t="s">
        <v>469</v>
      </c>
      <c r="BY56" s="294" t="s">
        <v>469</v>
      </c>
      <c r="CA56" s="288" t="s">
        <v>469</v>
      </c>
      <c r="CB56" s="292" t="s">
        <v>469</v>
      </c>
      <c r="CC56" s="293" t="s">
        <v>469</v>
      </c>
      <c r="CD56" s="293" t="s">
        <v>469</v>
      </c>
      <c r="CE56" s="293" t="s">
        <v>469</v>
      </c>
      <c r="CF56" s="293" t="s">
        <v>469</v>
      </c>
      <c r="CG56" s="294" t="s">
        <v>469</v>
      </c>
      <c r="CI56" s="288" t="s">
        <v>469</v>
      </c>
      <c r="CJ56" s="292" t="s">
        <v>469</v>
      </c>
      <c r="CK56" s="293" t="s">
        <v>469</v>
      </c>
      <c r="CL56" s="293" t="s">
        <v>469</v>
      </c>
      <c r="CM56" s="293" t="s">
        <v>469</v>
      </c>
      <c r="CN56" s="293" t="s">
        <v>469</v>
      </c>
      <c r="CO56" s="294" t="s">
        <v>469</v>
      </c>
      <c r="CQ56" s="295" t="e">
        <v>#REF!</v>
      </c>
      <c r="CR56" s="209" t="e">
        <v>#REF!</v>
      </c>
    </row>
    <row r="57" spans="2:96" ht="15.75" customHeight="1">
      <c r="B57" s="419"/>
      <c r="C57" s="419"/>
      <c r="D57" s="419"/>
      <c r="E57" s="397"/>
      <c r="F57" s="416"/>
      <c r="G57" s="401"/>
      <c r="H57" s="348"/>
      <c r="I57" s="243"/>
      <c r="M57" s="209" t="e">
        <v>#REF!</v>
      </c>
      <c r="O57" s="344">
        <v>4500</v>
      </c>
      <c r="P57" s="345" t="s">
        <v>376</v>
      </c>
      <c r="Q57" s="244"/>
      <c r="R57" s="245"/>
      <c r="S57" s="285">
        <v>10080000</v>
      </c>
      <c r="T57" s="286">
        <v>1.1148272017837235</v>
      </c>
      <c r="U57" s="287">
        <v>11237458.193979934</v>
      </c>
      <c r="V57" s="208" t="s">
        <v>285</v>
      </c>
      <c r="W57" s="248" t="s">
        <v>279</v>
      </c>
      <c r="X57" s="271" t="e">
        <v>#REF!</v>
      </c>
      <c r="Y57" s="271" t="s">
        <v>469</v>
      </c>
      <c r="Z57" s="271" t="s">
        <v>469</v>
      </c>
      <c r="AA57" s="271" t="s">
        <v>469</v>
      </c>
      <c r="AB57" s="271" t="s">
        <v>469</v>
      </c>
      <c r="AC57" s="272" t="s">
        <v>469</v>
      </c>
      <c r="AE57" s="288" t="s">
        <v>469</v>
      </c>
      <c r="AF57" s="292" t="s">
        <v>469</v>
      </c>
      <c r="AG57" s="293" t="s">
        <v>469</v>
      </c>
      <c r="AH57" s="293" t="s">
        <v>469</v>
      </c>
      <c r="AI57" s="293" t="s">
        <v>469</v>
      </c>
      <c r="AJ57" s="293" t="s">
        <v>469</v>
      </c>
      <c r="AK57" s="294" t="s">
        <v>469</v>
      </c>
      <c r="AM57" s="288">
        <v>11237458.193979934</v>
      </c>
      <c r="AN57" s="292" t="e">
        <v>#REF!</v>
      </c>
      <c r="AO57" s="293" t="s">
        <v>469</v>
      </c>
      <c r="AP57" s="293" t="s">
        <v>469</v>
      </c>
      <c r="AQ57" s="293" t="s">
        <v>469</v>
      </c>
      <c r="AR57" s="293" t="s">
        <v>469</v>
      </c>
      <c r="AS57" s="294" t="s">
        <v>469</v>
      </c>
      <c r="AU57" s="288" t="s">
        <v>469</v>
      </c>
      <c r="AV57" s="292" t="s">
        <v>469</v>
      </c>
      <c r="AW57" s="293" t="s">
        <v>469</v>
      </c>
      <c r="AX57" s="293" t="s">
        <v>469</v>
      </c>
      <c r="AY57" s="293" t="s">
        <v>469</v>
      </c>
      <c r="AZ57" s="293" t="s">
        <v>469</v>
      </c>
      <c r="BA57" s="294" t="s">
        <v>469</v>
      </c>
      <c r="BC57" s="288" t="s">
        <v>469</v>
      </c>
      <c r="BD57" s="292" t="s">
        <v>469</v>
      </c>
      <c r="BE57" s="293" t="s">
        <v>469</v>
      </c>
      <c r="BF57" s="293" t="s">
        <v>469</v>
      </c>
      <c r="BG57" s="293" t="s">
        <v>469</v>
      </c>
      <c r="BH57" s="293" t="s">
        <v>469</v>
      </c>
      <c r="BI57" s="294" t="s">
        <v>469</v>
      </c>
      <c r="BK57" s="288" t="s">
        <v>469</v>
      </c>
      <c r="BL57" s="292" t="s">
        <v>469</v>
      </c>
      <c r="BM57" s="293" t="s">
        <v>469</v>
      </c>
      <c r="BN57" s="293" t="s">
        <v>469</v>
      </c>
      <c r="BO57" s="293" t="s">
        <v>469</v>
      </c>
      <c r="BP57" s="293" t="s">
        <v>469</v>
      </c>
      <c r="BQ57" s="294" t="s">
        <v>469</v>
      </c>
      <c r="BS57" s="288" t="s">
        <v>469</v>
      </c>
      <c r="BT57" s="292" t="s">
        <v>469</v>
      </c>
      <c r="BU57" s="293" t="s">
        <v>469</v>
      </c>
      <c r="BV57" s="293" t="s">
        <v>469</v>
      </c>
      <c r="BW57" s="293" t="s">
        <v>469</v>
      </c>
      <c r="BX57" s="293" t="s">
        <v>469</v>
      </c>
      <c r="BY57" s="294" t="s">
        <v>469</v>
      </c>
      <c r="CA57" s="288" t="s">
        <v>469</v>
      </c>
      <c r="CB57" s="292" t="s">
        <v>469</v>
      </c>
      <c r="CC57" s="293" t="s">
        <v>469</v>
      </c>
      <c r="CD57" s="293" t="s">
        <v>469</v>
      </c>
      <c r="CE57" s="293" t="s">
        <v>469</v>
      </c>
      <c r="CF57" s="293" t="s">
        <v>469</v>
      </c>
      <c r="CG57" s="294" t="s">
        <v>469</v>
      </c>
      <c r="CI57" s="288" t="s">
        <v>469</v>
      </c>
      <c r="CJ57" s="292" t="s">
        <v>469</v>
      </c>
      <c r="CK57" s="293" t="s">
        <v>469</v>
      </c>
      <c r="CL57" s="293" t="s">
        <v>469</v>
      </c>
      <c r="CM57" s="293" t="s">
        <v>469</v>
      </c>
      <c r="CN57" s="293" t="s">
        <v>469</v>
      </c>
      <c r="CO57" s="294" t="s">
        <v>469</v>
      </c>
      <c r="CQ57" s="295" t="e">
        <v>#REF!</v>
      </c>
      <c r="CR57" s="209" t="e">
        <v>#REF!</v>
      </c>
    </row>
    <row r="58" spans="2:96" ht="11.25">
      <c r="B58" s="419"/>
      <c r="C58" s="419"/>
      <c r="D58" s="419"/>
      <c r="E58" s="397"/>
      <c r="F58" s="416"/>
      <c r="G58" s="401"/>
      <c r="H58" s="348"/>
      <c r="I58" s="243"/>
      <c r="M58" s="209" t="e">
        <v>#REF!</v>
      </c>
      <c r="O58" s="264">
        <v>4510</v>
      </c>
      <c r="P58" s="342" t="s">
        <v>377</v>
      </c>
      <c r="Q58" s="244"/>
      <c r="R58" s="245"/>
      <c r="S58" s="285">
        <v>0</v>
      </c>
      <c r="T58" s="286">
        <v>1.1148272017837235</v>
      </c>
      <c r="U58" s="287">
        <v>0</v>
      </c>
      <c r="V58" s="208" t="s">
        <v>285</v>
      </c>
      <c r="W58" s="248" t="s">
        <v>282</v>
      </c>
      <c r="X58" s="271" t="s">
        <v>469</v>
      </c>
      <c r="Y58" s="271" t="s">
        <v>469</v>
      </c>
      <c r="Z58" s="271" t="s">
        <v>469</v>
      </c>
      <c r="AA58" s="271" t="s">
        <v>469</v>
      </c>
      <c r="AB58" s="271" t="e">
        <v>#REF!</v>
      </c>
      <c r="AC58" s="272" t="s">
        <v>469</v>
      </c>
      <c r="AE58" s="288" t="s">
        <v>469</v>
      </c>
      <c r="AF58" s="292" t="s">
        <v>469</v>
      </c>
      <c r="AG58" s="293" t="s">
        <v>469</v>
      </c>
      <c r="AH58" s="293" t="s">
        <v>469</v>
      </c>
      <c r="AI58" s="293" t="s">
        <v>469</v>
      </c>
      <c r="AJ58" s="293" t="s">
        <v>469</v>
      </c>
      <c r="AK58" s="294" t="s">
        <v>469</v>
      </c>
      <c r="AM58" s="288">
        <v>0</v>
      </c>
      <c r="AN58" s="292" t="s">
        <v>469</v>
      </c>
      <c r="AO58" s="293" t="s">
        <v>469</v>
      </c>
      <c r="AP58" s="293" t="s">
        <v>469</v>
      </c>
      <c r="AQ58" s="293" t="s">
        <v>469</v>
      </c>
      <c r="AR58" s="293" t="e">
        <v>#REF!</v>
      </c>
      <c r="AS58" s="294" t="s">
        <v>469</v>
      </c>
      <c r="AU58" s="288" t="s">
        <v>469</v>
      </c>
      <c r="AV58" s="292" t="s">
        <v>469</v>
      </c>
      <c r="AW58" s="293" t="s">
        <v>469</v>
      </c>
      <c r="AX58" s="293" t="s">
        <v>469</v>
      </c>
      <c r="AY58" s="293" t="s">
        <v>469</v>
      </c>
      <c r="AZ58" s="293" t="s">
        <v>469</v>
      </c>
      <c r="BA58" s="294" t="s">
        <v>469</v>
      </c>
      <c r="BC58" s="288" t="s">
        <v>469</v>
      </c>
      <c r="BD58" s="292" t="s">
        <v>469</v>
      </c>
      <c r="BE58" s="293" t="s">
        <v>469</v>
      </c>
      <c r="BF58" s="293" t="s">
        <v>469</v>
      </c>
      <c r="BG58" s="293" t="s">
        <v>469</v>
      </c>
      <c r="BH58" s="293" t="s">
        <v>469</v>
      </c>
      <c r="BI58" s="294" t="s">
        <v>469</v>
      </c>
      <c r="BK58" s="288" t="s">
        <v>469</v>
      </c>
      <c r="BL58" s="292" t="s">
        <v>469</v>
      </c>
      <c r="BM58" s="293" t="s">
        <v>469</v>
      </c>
      <c r="BN58" s="293" t="s">
        <v>469</v>
      </c>
      <c r="BO58" s="293" t="s">
        <v>469</v>
      </c>
      <c r="BP58" s="293" t="s">
        <v>469</v>
      </c>
      <c r="BQ58" s="294" t="s">
        <v>469</v>
      </c>
      <c r="BS58" s="288" t="s">
        <v>469</v>
      </c>
      <c r="BT58" s="292" t="s">
        <v>469</v>
      </c>
      <c r="BU58" s="293" t="s">
        <v>469</v>
      </c>
      <c r="BV58" s="293" t="s">
        <v>469</v>
      </c>
      <c r="BW58" s="293" t="s">
        <v>469</v>
      </c>
      <c r="BX58" s="293" t="s">
        <v>469</v>
      </c>
      <c r="BY58" s="294" t="s">
        <v>469</v>
      </c>
      <c r="CA58" s="288" t="s">
        <v>469</v>
      </c>
      <c r="CB58" s="292" t="s">
        <v>469</v>
      </c>
      <c r="CC58" s="293" t="s">
        <v>469</v>
      </c>
      <c r="CD58" s="293" t="s">
        <v>469</v>
      </c>
      <c r="CE58" s="293" t="s">
        <v>469</v>
      </c>
      <c r="CF58" s="293" t="s">
        <v>469</v>
      </c>
      <c r="CG58" s="294" t="s">
        <v>469</v>
      </c>
      <c r="CI58" s="288" t="s">
        <v>469</v>
      </c>
      <c r="CJ58" s="292" t="s">
        <v>469</v>
      </c>
      <c r="CK58" s="293" t="s">
        <v>469</v>
      </c>
      <c r="CL58" s="293" t="s">
        <v>469</v>
      </c>
      <c r="CM58" s="293" t="s">
        <v>469</v>
      </c>
      <c r="CN58" s="293" t="s">
        <v>469</v>
      </c>
      <c r="CO58" s="294" t="s">
        <v>469</v>
      </c>
      <c r="CQ58" s="295" t="e">
        <v>#REF!</v>
      </c>
      <c r="CR58" s="209" t="e">
        <v>#REF!</v>
      </c>
    </row>
    <row r="59" spans="2:100" s="325" customFormat="1" ht="15.75" customHeight="1">
      <c r="B59" s="403"/>
      <c r="C59" s="403" t="s">
        <v>378</v>
      </c>
      <c r="D59" s="430" t="s">
        <v>379</v>
      </c>
      <c r="E59" s="397"/>
      <c r="F59" s="416"/>
      <c r="G59" s="401"/>
      <c r="H59" s="348">
        <v>12672240</v>
      </c>
      <c r="I59" s="348">
        <v>0</v>
      </c>
      <c r="J59" s="207"/>
      <c r="K59" s="353"/>
      <c r="L59" s="207"/>
      <c r="M59" s="209"/>
      <c r="N59" s="207"/>
      <c r="O59" s="298"/>
      <c r="P59" s="244"/>
      <c r="Q59" s="244"/>
      <c r="R59" s="245"/>
      <c r="S59" s="243"/>
      <c r="T59" s="246"/>
      <c r="U59" s="247"/>
      <c r="V59" s="356"/>
      <c r="W59" s="248"/>
      <c r="X59" s="271" t="s">
        <v>469</v>
      </c>
      <c r="Y59" s="271" t="s">
        <v>469</v>
      </c>
      <c r="Z59" s="271" t="s">
        <v>469</v>
      </c>
      <c r="AA59" s="271" t="s">
        <v>469</v>
      </c>
      <c r="AB59" s="271" t="s">
        <v>469</v>
      </c>
      <c r="AC59" s="272" t="s">
        <v>469</v>
      </c>
      <c r="AE59" s="288" t="s">
        <v>469</v>
      </c>
      <c r="AF59" s="292" t="s">
        <v>469</v>
      </c>
      <c r="AG59" s="293" t="s">
        <v>469</v>
      </c>
      <c r="AH59" s="293" t="s">
        <v>469</v>
      </c>
      <c r="AI59" s="293" t="s">
        <v>469</v>
      </c>
      <c r="AJ59" s="293" t="s">
        <v>469</v>
      </c>
      <c r="AK59" s="294" t="s">
        <v>469</v>
      </c>
      <c r="AM59" s="288" t="s">
        <v>469</v>
      </c>
      <c r="AN59" s="292" t="s">
        <v>469</v>
      </c>
      <c r="AO59" s="293" t="s">
        <v>469</v>
      </c>
      <c r="AP59" s="293" t="s">
        <v>469</v>
      </c>
      <c r="AQ59" s="293" t="s">
        <v>469</v>
      </c>
      <c r="AR59" s="293" t="s">
        <v>469</v>
      </c>
      <c r="AS59" s="294" t="s">
        <v>469</v>
      </c>
      <c r="AU59" s="288" t="s">
        <v>469</v>
      </c>
      <c r="AV59" s="292" t="s">
        <v>469</v>
      </c>
      <c r="AW59" s="293" t="s">
        <v>469</v>
      </c>
      <c r="AX59" s="293" t="s">
        <v>469</v>
      </c>
      <c r="AY59" s="293" t="s">
        <v>469</v>
      </c>
      <c r="AZ59" s="293" t="s">
        <v>469</v>
      </c>
      <c r="BA59" s="294" t="s">
        <v>469</v>
      </c>
      <c r="BC59" s="288" t="s">
        <v>469</v>
      </c>
      <c r="BD59" s="292" t="s">
        <v>469</v>
      </c>
      <c r="BE59" s="293" t="s">
        <v>469</v>
      </c>
      <c r="BF59" s="293" t="s">
        <v>469</v>
      </c>
      <c r="BG59" s="293" t="s">
        <v>469</v>
      </c>
      <c r="BH59" s="293" t="s">
        <v>469</v>
      </c>
      <c r="BI59" s="294" t="s">
        <v>469</v>
      </c>
      <c r="BK59" s="288" t="s">
        <v>469</v>
      </c>
      <c r="BL59" s="292" t="s">
        <v>469</v>
      </c>
      <c r="BM59" s="293" t="s">
        <v>469</v>
      </c>
      <c r="BN59" s="293" t="s">
        <v>469</v>
      </c>
      <c r="BO59" s="293" t="s">
        <v>469</v>
      </c>
      <c r="BP59" s="293" t="s">
        <v>469</v>
      </c>
      <c r="BQ59" s="294" t="s">
        <v>469</v>
      </c>
      <c r="BS59" s="288" t="s">
        <v>469</v>
      </c>
      <c r="BT59" s="292" t="s">
        <v>469</v>
      </c>
      <c r="BU59" s="293" t="s">
        <v>469</v>
      </c>
      <c r="BV59" s="293" t="s">
        <v>469</v>
      </c>
      <c r="BW59" s="293" t="s">
        <v>469</v>
      </c>
      <c r="BX59" s="293" t="s">
        <v>469</v>
      </c>
      <c r="BY59" s="294" t="s">
        <v>469</v>
      </c>
      <c r="CA59" s="288" t="s">
        <v>469</v>
      </c>
      <c r="CB59" s="292" t="s">
        <v>469</v>
      </c>
      <c r="CC59" s="293" t="s">
        <v>469</v>
      </c>
      <c r="CD59" s="293" t="s">
        <v>469</v>
      </c>
      <c r="CE59" s="293" t="s">
        <v>469</v>
      </c>
      <c r="CF59" s="293" t="s">
        <v>469</v>
      </c>
      <c r="CG59" s="294" t="s">
        <v>469</v>
      </c>
      <c r="CI59" s="288" t="s">
        <v>469</v>
      </c>
      <c r="CJ59" s="292" t="s">
        <v>469</v>
      </c>
      <c r="CK59" s="293" t="s">
        <v>469</v>
      </c>
      <c r="CL59" s="293" t="s">
        <v>469</v>
      </c>
      <c r="CM59" s="293" t="s">
        <v>469</v>
      </c>
      <c r="CN59" s="293" t="s">
        <v>469</v>
      </c>
      <c r="CO59" s="294" t="s">
        <v>469</v>
      </c>
      <c r="CQ59" s="295"/>
      <c r="CR59" s="209" t="s">
        <v>469</v>
      </c>
      <c r="CS59" s="207"/>
      <c r="CT59" s="207"/>
      <c r="CU59" s="207"/>
      <c r="CV59" s="353"/>
    </row>
    <row r="60" spans="2:100" s="325" customFormat="1" ht="15.75" customHeight="1">
      <c r="B60" s="431"/>
      <c r="C60" s="403" t="s">
        <v>380</v>
      </c>
      <c r="D60" s="431"/>
      <c r="E60" s="432"/>
      <c r="F60" s="433"/>
      <c r="G60" s="434"/>
      <c r="H60" s="348">
        <v>526051620</v>
      </c>
      <c r="I60" s="348">
        <v>0</v>
      </c>
      <c r="J60" s="353"/>
      <c r="K60" s="353"/>
      <c r="L60" s="207"/>
      <c r="M60" s="263" t="e">
        <v>#REF!</v>
      </c>
      <c r="N60" s="207" t="s">
        <v>470</v>
      </c>
      <c r="O60" s="264">
        <v>6000</v>
      </c>
      <c r="P60" s="302" t="s">
        <v>350</v>
      </c>
      <c r="Q60" s="244"/>
      <c r="R60" s="267"/>
      <c r="S60" s="268">
        <v>94579000</v>
      </c>
      <c r="T60" s="268"/>
      <c r="U60" s="269">
        <v>248620217.02016628</v>
      </c>
      <c r="V60" s="356"/>
      <c r="W60" s="248"/>
      <c r="X60" s="271" t="s">
        <v>469</v>
      </c>
      <c r="Y60" s="271" t="s">
        <v>469</v>
      </c>
      <c r="Z60" s="271" t="s">
        <v>469</v>
      </c>
      <c r="AA60" s="271" t="s">
        <v>469</v>
      </c>
      <c r="AB60" s="271" t="s">
        <v>469</v>
      </c>
      <c r="AC60" s="272" t="s">
        <v>469</v>
      </c>
      <c r="AE60" s="288" t="s">
        <v>469</v>
      </c>
      <c r="AF60" s="292" t="s">
        <v>469</v>
      </c>
      <c r="AG60" s="293" t="s">
        <v>469</v>
      </c>
      <c r="AH60" s="293" t="s">
        <v>469</v>
      </c>
      <c r="AI60" s="293" t="s">
        <v>469</v>
      </c>
      <c r="AJ60" s="293" t="s">
        <v>469</v>
      </c>
      <c r="AK60" s="294" t="s">
        <v>469</v>
      </c>
      <c r="AM60" s="288" t="s">
        <v>469</v>
      </c>
      <c r="AN60" s="292" t="s">
        <v>469</v>
      </c>
      <c r="AO60" s="293" t="s">
        <v>469</v>
      </c>
      <c r="AP60" s="293" t="s">
        <v>469</v>
      </c>
      <c r="AQ60" s="293" t="s">
        <v>469</v>
      </c>
      <c r="AR60" s="293" t="s">
        <v>469</v>
      </c>
      <c r="AS60" s="294" t="s">
        <v>469</v>
      </c>
      <c r="AU60" s="288" t="s">
        <v>469</v>
      </c>
      <c r="AV60" s="292" t="s">
        <v>469</v>
      </c>
      <c r="AW60" s="293" t="s">
        <v>469</v>
      </c>
      <c r="AX60" s="293" t="s">
        <v>469</v>
      </c>
      <c r="AY60" s="293" t="s">
        <v>469</v>
      </c>
      <c r="AZ60" s="293" t="s">
        <v>469</v>
      </c>
      <c r="BA60" s="294" t="s">
        <v>469</v>
      </c>
      <c r="BC60" s="288" t="s">
        <v>469</v>
      </c>
      <c r="BD60" s="292" t="s">
        <v>469</v>
      </c>
      <c r="BE60" s="293" t="s">
        <v>469</v>
      </c>
      <c r="BF60" s="293" t="s">
        <v>469</v>
      </c>
      <c r="BG60" s="293" t="s">
        <v>469</v>
      </c>
      <c r="BH60" s="293" t="s">
        <v>469</v>
      </c>
      <c r="BI60" s="294" t="s">
        <v>469</v>
      </c>
      <c r="BK60" s="288" t="s">
        <v>469</v>
      </c>
      <c r="BL60" s="292" t="s">
        <v>469</v>
      </c>
      <c r="BM60" s="293" t="s">
        <v>469</v>
      </c>
      <c r="BN60" s="293" t="s">
        <v>469</v>
      </c>
      <c r="BO60" s="293" t="s">
        <v>469</v>
      </c>
      <c r="BP60" s="293" t="s">
        <v>469</v>
      </c>
      <c r="BQ60" s="294" t="s">
        <v>469</v>
      </c>
      <c r="BS60" s="288" t="s">
        <v>469</v>
      </c>
      <c r="BT60" s="292" t="s">
        <v>469</v>
      </c>
      <c r="BU60" s="293" t="s">
        <v>469</v>
      </c>
      <c r="BV60" s="293" t="s">
        <v>469</v>
      </c>
      <c r="BW60" s="293" t="s">
        <v>469</v>
      </c>
      <c r="BX60" s="293" t="s">
        <v>469</v>
      </c>
      <c r="BY60" s="294" t="s">
        <v>469</v>
      </c>
      <c r="CA60" s="288" t="s">
        <v>469</v>
      </c>
      <c r="CB60" s="292" t="s">
        <v>469</v>
      </c>
      <c r="CC60" s="293" t="s">
        <v>469</v>
      </c>
      <c r="CD60" s="293" t="s">
        <v>469</v>
      </c>
      <c r="CE60" s="293" t="s">
        <v>469</v>
      </c>
      <c r="CF60" s="293" t="s">
        <v>469</v>
      </c>
      <c r="CG60" s="294" t="s">
        <v>469</v>
      </c>
      <c r="CI60" s="288" t="s">
        <v>469</v>
      </c>
      <c r="CJ60" s="292" t="s">
        <v>469</v>
      </c>
      <c r="CK60" s="293" t="s">
        <v>469</v>
      </c>
      <c r="CL60" s="293" t="s">
        <v>469</v>
      </c>
      <c r="CM60" s="293" t="s">
        <v>469</v>
      </c>
      <c r="CN60" s="293" t="s">
        <v>469</v>
      </c>
      <c r="CO60" s="294" t="s">
        <v>469</v>
      </c>
      <c r="CQ60" s="277"/>
      <c r="CR60" s="209" t="s">
        <v>469</v>
      </c>
      <c r="CS60" s="207"/>
      <c r="CT60" s="207" t="s">
        <v>468</v>
      </c>
      <c r="CU60" s="278">
        <v>223012300</v>
      </c>
      <c r="CV60" s="353"/>
    </row>
    <row r="61" spans="2:100" s="325" customFormat="1" ht="15.75" customHeight="1">
      <c r="B61" s="431"/>
      <c r="C61" s="403" t="s">
        <v>257</v>
      </c>
      <c r="D61" s="431"/>
      <c r="E61" s="432"/>
      <c r="F61" s="433"/>
      <c r="G61" s="434"/>
      <c r="H61" s="348">
        <v>538723860</v>
      </c>
      <c r="I61" s="348">
        <v>0</v>
      </c>
      <c r="J61" s="353"/>
      <c r="K61" s="353"/>
      <c r="L61" s="207"/>
      <c r="M61" s="209" t="e">
        <v>#REF!</v>
      </c>
      <c r="N61" s="207"/>
      <c r="O61" s="264">
        <v>6000</v>
      </c>
      <c r="P61" s="342" t="s">
        <v>381</v>
      </c>
      <c r="Q61" s="244"/>
      <c r="R61" s="245"/>
      <c r="S61" s="285">
        <v>94468000</v>
      </c>
      <c r="T61" s="286">
        <v>2.6287042263099236</v>
      </c>
      <c r="U61" s="287">
        <v>248328430.85104588</v>
      </c>
      <c r="V61" s="208" t="s">
        <v>285</v>
      </c>
      <c r="W61" s="248" t="s">
        <v>279</v>
      </c>
      <c r="X61" s="271" t="e">
        <v>#REF!</v>
      </c>
      <c r="Y61" s="271" t="s">
        <v>469</v>
      </c>
      <c r="Z61" s="271" t="s">
        <v>469</v>
      </c>
      <c r="AA61" s="271" t="s">
        <v>469</v>
      </c>
      <c r="AB61" s="271" t="s">
        <v>469</v>
      </c>
      <c r="AC61" s="272" t="s">
        <v>469</v>
      </c>
      <c r="AE61" s="288" t="s">
        <v>469</v>
      </c>
      <c r="AF61" s="292" t="s">
        <v>469</v>
      </c>
      <c r="AG61" s="293" t="s">
        <v>469</v>
      </c>
      <c r="AH61" s="293" t="s">
        <v>469</v>
      </c>
      <c r="AI61" s="293" t="s">
        <v>469</v>
      </c>
      <c r="AJ61" s="293" t="s">
        <v>469</v>
      </c>
      <c r="AK61" s="294" t="s">
        <v>469</v>
      </c>
      <c r="AM61" s="288">
        <v>248328430.85104588</v>
      </c>
      <c r="AN61" s="292" t="e">
        <v>#REF!</v>
      </c>
      <c r="AO61" s="293" t="s">
        <v>469</v>
      </c>
      <c r="AP61" s="293" t="s">
        <v>469</v>
      </c>
      <c r="AQ61" s="293" t="s">
        <v>469</v>
      </c>
      <c r="AR61" s="293" t="s">
        <v>469</v>
      </c>
      <c r="AS61" s="294" t="s">
        <v>469</v>
      </c>
      <c r="AU61" s="288" t="s">
        <v>469</v>
      </c>
      <c r="AV61" s="292" t="s">
        <v>469</v>
      </c>
      <c r="AW61" s="293" t="s">
        <v>469</v>
      </c>
      <c r="AX61" s="293" t="s">
        <v>469</v>
      </c>
      <c r="AY61" s="293" t="s">
        <v>469</v>
      </c>
      <c r="AZ61" s="293" t="s">
        <v>469</v>
      </c>
      <c r="BA61" s="294" t="s">
        <v>469</v>
      </c>
      <c r="BC61" s="288" t="s">
        <v>469</v>
      </c>
      <c r="BD61" s="292" t="s">
        <v>469</v>
      </c>
      <c r="BE61" s="293" t="s">
        <v>469</v>
      </c>
      <c r="BF61" s="293" t="s">
        <v>469</v>
      </c>
      <c r="BG61" s="293" t="s">
        <v>469</v>
      </c>
      <c r="BH61" s="293" t="s">
        <v>469</v>
      </c>
      <c r="BI61" s="294" t="s">
        <v>469</v>
      </c>
      <c r="BK61" s="288" t="s">
        <v>469</v>
      </c>
      <c r="BL61" s="292" t="s">
        <v>469</v>
      </c>
      <c r="BM61" s="293" t="s">
        <v>469</v>
      </c>
      <c r="BN61" s="293" t="s">
        <v>469</v>
      </c>
      <c r="BO61" s="293" t="s">
        <v>469</v>
      </c>
      <c r="BP61" s="293" t="s">
        <v>469</v>
      </c>
      <c r="BQ61" s="294" t="s">
        <v>469</v>
      </c>
      <c r="BS61" s="288" t="s">
        <v>469</v>
      </c>
      <c r="BT61" s="292" t="s">
        <v>469</v>
      </c>
      <c r="BU61" s="293" t="s">
        <v>469</v>
      </c>
      <c r="BV61" s="293" t="s">
        <v>469</v>
      </c>
      <c r="BW61" s="293" t="s">
        <v>469</v>
      </c>
      <c r="BX61" s="293" t="s">
        <v>469</v>
      </c>
      <c r="BY61" s="294" t="s">
        <v>469</v>
      </c>
      <c r="CA61" s="288" t="s">
        <v>469</v>
      </c>
      <c r="CB61" s="292" t="s">
        <v>469</v>
      </c>
      <c r="CC61" s="293" t="s">
        <v>469</v>
      </c>
      <c r="CD61" s="293" t="s">
        <v>469</v>
      </c>
      <c r="CE61" s="293" t="s">
        <v>469</v>
      </c>
      <c r="CF61" s="293" t="s">
        <v>469</v>
      </c>
      <c r="CG61" s="294" t="s">
        <v>469</v>
      </c>
      <c r="CI61" s="288" t="s">
        <v>469</v>
      </c>
      <c r="CJ61" s="292" t="s">
        <v>469</v>
      </c>
      <c r="CK61" s="293" t="s">
        <v>469</v>
      </c>
      <c r="CL61" s="293" t="s">
        <v>469</v>
      </c>
      <c r="CM61" s="293" t="s">
        <v>469</v>
      </c>
      <c r="CN61" s="293" t="s">
        <v>469</v>
      </c>
      <c r="CO61" s="294" t="s">
        <v>469</v>
      </c>
      <c r="CQ61" s="295" t="e">
        <v>#REF!</v>
      </c>
      <c r="CR61" s="209" t="e">
        <v>#REF!</v>
      </c>
      <c r="CS61" s="207"/>
      <c r="CT61" s="207"/>
      <c r="CU61" s="207"/>
      <c r="CV61" s="353"/>
    </row>
    <row r="62" spans="2:100" s="325" customFormat="1" ht="15.75" customHeight="1">
      <c r="B62" s="431"/>
      <c r="C62" s="403" t="s">
        <v>382</v>
      </c>
      <c r="D62" s="435">
        <v>0</v>
      </c>
      <c r="E62" s="435"/>
      <c r="F62" s="433"/>
      <c r="G62" s="434"/>
      <c r="H62" s="435">
        <v>1</v>
      </c>
      <c r="I62" s="357">
        <v>0</v>
      </c>
      <c r="J62" s="353"/>
      <c r="K62" s="353"/>
      <c r="L62" s="207"/>
      <c r="M62" s="209" t="e">
        <v>#REF!</v>
      </c>
      <c r="N62" s="207"/>
      <c r="O62" s="264">
        <v>6010</v>
      </c>
      <c r="P62" s="342" t="s">
        <v>383</v>
      </c>
      <c r="Q62" s="244"/>
      <c r="R62" s="245"/>
      <c r="S62" s="285">
        <v>0</v>
      </c>
      <c r="T62" s="286">
        <v>2.6287042263099236</v>
      </c>
      <c r="U62" s="287">
        <v>0</v>
      </c>
      <c r="V62" s="208" t="s">
        <v>285</v>
      </c>
      <c r="W62" s="248"/>
      <c r="X62" s="271" t="s">
        <v>469</v>
      </c>
      <c r="Y62" s="271" t="s">
        <v>469</v>
      </c>
      <c r="Z62" s="271" t="s">
        <v>469</v>
      </c>
      <c r="AA62" s="271" t="s">
        <v>469</v>
      </c>
      <c r="AB62" s="271" t="s">
        <v>469</v>
      </c>
      <c r="AC62" s="272" t="s">
        <v>469</v>
      </c>
      <c r="AE62" s="288" t="s">
        <v>469</v>
      </c>
      <c r="AF62" s="292" t="s">
        <v>469</v>
      </c>
      <c r="AG62" s="293" t="s">
        <v>469</v>
      </c>
      <c r="AH62" s="293" t="s">
        <v>469</v>
      </c>
      <c r="AI62" s="293" t="s">
        <v>469</v>
      </c>
      <c r="AJ62" s="293" t="s">
        <v>469</v>
      </c>
      <c r="AK62" s="294" t="s">
        <v>469</v>
      </c>
      <c r="AM62" s="288">
        <v>0</v>
      </c>
      <c r="AN62" s="292" t="s">
        <v>469</v>
      </c>
      <c r="AO62" s="293" t="s">
        <v>469</v>
      </c>
      <c r="AP62" s="293" t="s">
        <v>469</v>
      </c>
      <c r="AQ62" s="293" t="s">
        <v>469</v>
      </c>
      <c r="AR62" s="293" t="s">
        <v>469</v>
      </c>
      <c r="AS62" s="294" t="s">
        <v>469</v>
      </c>
      <c r="AU62" s="288" t="s">
        <v>469</v>
      </c>
      <c r="AV62" s="292" t="s">
        <v>469</v>
      </c>
      <c r="AW62" s="293" t="s">
        <v>469</v>
      </c>
      <c r="AX62" s="293" t="s">
        <v>469</v>
      </c>
      <c r="AY62" s="293" t="s">
        <v>469</v>
      </c>
      <c r="AZ62" s="293" t="s">
        <v>469</v>
      </c>
      <c r="BA62" s="294" t="s">
        <v>469</v>
      </c>
      <c r="BC62" s="288" t="s">
        <v>469</v>
      </c>
      <c r="BD62" s="292" t="s">
        <v>469</v>
      </c>
      <c r="BE62" s="293" t="s">
        <v>469</v>
      </c>
      <c r="BF62" s="293" t="s">
        <v>469</v>
      </c>
      <c r="BG62" s="293" t="s">
        <v>469</v>
      </c>
      <c r="BH62" s="293" t="s">
        <v>469</v>
      </c>
      <c r="BI62" s="294" t="s">
        <v>469</v>
      </c>
      <c r="BK62" s="288" t="s">
        <v>469</v>
      </c>
      <c r="BL62" s="292" t="s">
        <v>469</v>
      </c>
      <c r="BM62" s="293" t="s">
        <v>469</v>
      </c>
      <c r="BN62" s="293" t="s">
        <v>469</v>
      </c>
      <c r="BO62" s="293" t="s">
        <v>469</v>
      </c>
      <c r="BP62" s="293" t="s">
        <v>469</v>
      </c>
      <c r="BQ62" s="294" t="s">
        <v>469</v>
      </c>
      <c r="BS62" s="288" t="s">
        <v>469</v>
      </c>
      <c r="BT62" s="292" t="s">
        <v>469</v>
      </c>
      <c r="BU62" s="293" t="s">
        <v>469</v>
      </c>
      <c r="BV62" s="293" t="s">
        <v>469</v>
      </c>
      <c r="BW62" s="293" t="s">
        <v>469</v>
      </c>
      <c r="BX62" s="293" t="s">
        <v>469</v>
      </c>
      <c r="BY62" s="294" t="s">
        <v>469</v>
      </c>
      <c r="CA62" s="288" t="s">
        <v>469</v>
      </c>
      <c r="CB62" s="292" t="s">
        <v>469</v>
      </c>
      <c r="CC62" s="293" t="s">
        <v>469</v>
      </c>
      <c r="CD62" s="293" t="s">
        <v>469</v>
      </c>
      <c r="CE62" s="293" t="s">
        <v>469</v>
      </c>
      <c r="CF62" s="293" t="s">
        <v>469</v>
      </c>
      <c r="CG62" s="294" t="s">
        <v>469</v>
      </c>
      <c r="CI62" s="288" t="s">
        <v>469</v>
      </c>
      <c r="CJ62" s="292" t="s">
        <v>469</v>
      </c>
      <c r="CK62" s="293" t="s">
        <v>469</v>
      </c>
      <c r="CL62" s="293" t="s">
        <v>469</v>
      </c>
      <c r="CM62" s="293" t="s">
        <v>469</v>
      </c>
      <c r="CN62" s="293" t="s">
        <v>469</v>
      </c>
      <c r="CO62" s="294" t="s">
        <v>469</v>
      </c>
      <c r="CQ62" s="295" t="e">
        <v>#REF!</v>
      </c>
      <c r="CR62" s="209" t="e">
        <v>#REF!</v>
      </c>
      <c r="CS62" s="207"/>
      <c r="CT62" s="207"/>
      <c r="CU62" s="207"/>
      <c r="CV62" s="353"/>
    </row>
    <row r="63" spans="2:96" ht="11.25">
      <c r="B63" s="431"/>
      <c r="C63" s="403"/>
      <c r="D63" s="431"/>
      <c r="E63" s="432"/>
      <c r="F63" s="433"/>
      <c r="G63" s="434"/>
      <c r="H63" s="436"/>
      <c r="J63" s="353"/>
      <c r="M63" s="209" t="e">
        <v>#REF!</v>
      </c>
      <c r="O63" s="264">
        <v>6100</v>
      </c>
      <c r="P63" s="342" t="s">
        <v>384</v>
      </c>
      <c r="Q63" s="244"/>
      <c r="R63" s="245"/>
      <c r="S63" s="285">
        <v>0</v>
      </c>
      <c r="T63" s="286">
        <v>2.6287042263099236</v>
      </c>
      <c r="U63" s="287">
        <v>0</v>
      </c>
      <c r="V63" s="208" t="s">
        <v>285</v>
      </c>
      <c r="W63" s="248" t="s">
        <v>283</v>
      </c>
      <c r="X63" s="271" t="s">
        <v>469</v>
      </c>
      <c r="Y63" s="271" t="s">
        <v>469</v>
      </c>
      <c r="Z63" s="271" t="s">
        <v>469</v>
      </c>
      <c r="AA63" s="271" t="s">
        <v>469</v>
      </c>
      <c r="AB63" s="271" t="s">
        <v>469</v>
      </c>
      <c r="AC63" s="272" t="e">
        <v>#REF!</v>
      </c>
      <c r="AE63" s="288" t="s">
        <v>469</v>
      </c>
      <c r="AF63" s="292" t="s">
        <v>469</v>
      </c>
      <c r="AG63" s="293" t="s">
        <v>469</v>
      </c>
      <c r="AH63" s="293" t="s">
        <v>469</v>
      </c>
      <c r="AI63" s="293" t="s">
        <v>469</v>
      </c>
      <c r="AJ63" s="293" t="s">
        <v>469</v>
      </c>
      <c r="AK63" s="294" t="s">
        <v>469</v>
      </c>
      <c r="AM63" s="288">
        <v>0</v>
      </c>
      <c r="AN63" s="292" t="s">
        <v>469</v>
      </c>
      <c r="AO63" s="293" t="s">
        <v>469</v>
      </c>
      <c r="AP63" s="293" t="s">
        <v>469</v>
      </c>
      <c r="AQ63" s="293" t="s">
        <v>469</v>
      </c>
      <c r="AR63" s="293" t="s">
        <v>469</v>
      </c>
      <c r="AS63" s="294" t="e">
        <v>#REF!</v>
      </c>
      <c r="AU63" s="288" t="s">
        <v>469</v>
      </c>
      <c r="AV63" s="292" t="s">
        <v>469</v>
      </c>
      <c r="AW63" s="293" t="s">
        <v>469</v>
      </c>
      <c r="AX63" s="293" t="s">
        <v>469</v>
      </c>
      <c r="AY63" s="293" t="s">
        <v>469</v>
      </c>
      <c r="AZ63" s="293" t="s">
        <v>469</v>
      </c>
      <c r="BA63" s="294" t="s">
        <v>469</v>
      </c>
      <c r="BC63" s="288" t="s">
        <v>469</v>
      </c>
      <c r="BD63" s="292" t="s">
        <v>469</v>
      </c>
      <c r="BE63" s="293" t="s">
        <v>469</v>
      </c>
      <c r="BF63" s="293" t="s">
        <v>469</v>
      </c>
      <c r="BG63" s="293" t="s">
        <v>469</v>
      </c>
      <c r="BH63" s="293" t="s">
        <v>469</v>
      </c>
      <c r="BI63" s="294" t="s">
        <v>469</v>
      </c>
      <c r="BK63" s="288" t="s">
        <v>469</v>
      </c>
      <c r="BL63" s="292" t="s">
        <v>469</v>
      </c>
      <c r="BM63" s="293" t="s">
        <v>469</v>
      </c>
      <c r="BN63" s="293" t="s">
        <v>469</v>
      </c>
      <c r="BO63" s="293" t="s">
        <v>469</v>
      </c>
      <c r="BP63" s="293" t="s">
        <v>469</v>
      </c>
      <c r="BQ63" s="294" t="s">
        <v>469</v>
      </c>
      <c r="BS63" s="288" t="s">
        <v>469</v>
      </c>
      <c r="BT63" s="292" t="s">
        <v>469</v>
      </c>
      <c r="BU63" s="293" t="s">
        <v>469</v>
      </c>
      <c r="BV63" s="293" t="s">
        <v>469</v>
      </c>
      <c r="BW63" s="293" t="s">
        <v>469</v>
      </c>
      <c r="BX63" s="293" t="s">
        <v>469</v>
      </c>
      <c r="BY63" s="294" t="s">
        <v>469</v>
      </c>
      <c r="CA63" s="288" t="s">
        <v>469</v>
      </c>
      <c r="CB63" s="292" t="s">
        <v>469</v>
      </c>
      <c r="CC63" s="293" t="s">
        <v>469</v>
      </c>
      <c r="CD63" s="293" t="s">
        <v>469</v>
      </c>
      <c r="CE63" s="293" t="s">
        <v>469</v>
      </c>
      <c r="CF63" s="293" t="s">
        <v>469</v>
      </c>
      <c r="CG63" s="294" t="s">
        <v>469</v>
      </c>
      <c r="CI63" s="288" t="s">
        <v>469</v>
      </c>
      <c r="CJ63" s="292" t="s">
        <v>469</v>
      </c>
      <c r="CK63" s="293" t="s">
        <v>469</v>
      </c>
      <c r="CL63" s="293" t="s">
        <v>469</v>
      </c>
      <c r="CM63" s="293" t="s">
        <v>469</v>
      </c>
      <c r="CN63" s="293" t="s">
        <v>469</v>
      </c>
      <c r="CO63" s="294" t="s">
        <v>469</v>
      </c>
      <c r="CQ63" s="295" t="e">
        <v>#REF!</v>
      </c>
      <c r="CR63" s="209" t="e">
        <v>#REF!</v>
      </c>
    </row>
    <row r="64" spans="2:96" ht="15.75" customHeight="1">
      <c r="B64" s="437"/>
      <c r="C64" s="403" t="s">
        <v>385</v>
      </c>
      <c r="D64" s="403"/>
      <c r="E64" s="397"/>
      <c r="F64" s="415"/>
      <c r="G64" s="401"/>
      <c r="H64" s="358">
        <v>538723860</v>
      </c>
      <c r="I64" s="359"/>
      <c r="J64" s="210"/>
      <c r="M64" s="209" t="e">
        <v>#REF!</v>
      </c>
      <c r="O64" s="264">
        <v>6200</v>
      </c>
      <c r="P64" s="342" t="s">
        <v>386</v>
      </c>
      <c r="Q64" s="244"/>
      <c r="R64" s="245"/>
      <c r="S64" s="285">
        <v>111000</v>
      </c>
      <c r="T64" s="286">
        <v>2.6287042263099236</v>
      </c>
      <c r="U64" s="287">
        <v>291786.1691204015</v>
      </c>
      <c r="V64" s="208" t="s">
        <v>285</v>
      </c>
      <c r="W64" s="248" t="s">
        <v>283</v>
      </c>
      <c r="X64" s="271" t="s">
        <v>469</v>
      </c>
      <c r="Y64" s="271" t="s">
        <v>469</v>
      </c>
      <c r="Z64" s="271" t="s">
        <v>469</v>
      </c>
      <c r="AA64" s="271" t="s">
        <v>469</v>
      </c>
      <c r="AB64" s="271" t="s">
        <v>469</v>
      </c>
      <c r="AC64" s="272" t="e">
        <v>#REF!</v>
      </c>
      <c r="AE64" s="288" t="s">
        <v>469</v>
      </c>
      <c r="AF64" s="292" t="s">
        <v>469</v>
      </c>
      <c r="AG64" s="293" t="s">
        <v>469</v>
      </c>
      <c r="AH64" s="293" t="s">
        <v>469</v>
      </c>
      <c r="AI64" s="293" t="s">
        <v>469</v>
      </c>
      <c r="AJ64" s="293" t="s">
        <v>469</v>
      </c>
      <c r="AK64" s="294" t="s">
        <v>469</v>
      </c>
      <c r="AM64" s="288">
        <v>291786.1691204015</v>
      </c>
      <c r="AN64" s="292" t="s">
        <v>469</v>
      </c>
      <c r="AO64" s="293" t="s">
        <v>469</v>
      </c>
      <c r="AP64" s="293" t="s">
        <v>469</v>
      </c>
      <c r="AQ64" s="293" t="s">
        <v>469</v>
      </c>
      <c r="AR64" s="293" t="s">
        <v>469</v>
      </c>
      <c r="AS64" s="294" t="e">
        <v>#REF!</v>
      </c>
      <c r="AU64" s="288" t="s">
        <v>469</v>
      </c>
      <c r="AV64" s="292" t="s">
        <v>469</v>
      </c>
      <c r="AW64" s="293" t="s">
        <v>469</v>
      </c>
      <c r="AX64" s="293" t="s">
        <v>469</v>
      </c>
      <c r="AY64" s="293" t="s">
        <v>469</v>
      </c>
      <c r="AZ64" s="293" t="s">
        <v>469</v>
      </c>
      <c r="BA64" s="294" t="s">
        <v>469</v>
      </c>
      <c r="BC64" s="288" t="s">
        <v>469</v>
      </c>
      <c r="BD64" s="292" t="s">
        <v>469</v>
      </c>
      <c r="BE64" s="293" t="s">
        <v>469</v>
      </c>
      <c r="BF64" s="293" t="s">
        <v>469</v>
      </c>
      <c r="BG64" s="293" t="s">
        <v>469</v>
      </c>
      <c r="BH64" s="293" t="s">
        <v>469</v>
      </c>
      <c r="BI64" s="294" t="s">
        <v>469</v>
      </c>
      <c r="BK64" s="288" t="s">
        <v>469</v>
      </c>
      <c r="BL64" s="292" t="s">
        <v>469</v>
      </c>
      <c r="BM64" s="293" t="s">
        <v>469</v>
      </c>
      <c r="BN64" s="293" t="s">
        <v>469</v>
      </c>
      <c r="BO64" s="293" t="s">
        <v>469</v>
      </c>
      <c r="BP64" s="293" t="s">
        <v>469</v>
      </c>
      <c r="BQ64" s="294" t="s">
        <v>469</v>
      </c>
      <c r="BS64" s="288" t="s">
        <v>469</v>
      </c>
      <c r="BT64" s="292" t="s">
        <v>469</v>
      </c>
      <c r="BU64" s="293" t="s">
        <v>469</v>
      </c>
      <c r="BV64" s="293" t="s">
        <v>469</v>
      </c>
      <c r="BW64" s="293" t="s">
        <v>469</v>
      </c>
      <c r="BX64" s="293" t="s">
        <v>469</v>
      </c>
      <c r="BY64" s="294" t="s">
        <v>469</v>
      </c>
      <c r="CA64" s="288" t="s">
        <v>469</v>
      </c>
      <c r="CB64" s="292" t="s">
        <v>469</v>
      </c>
      <c r="CC64" s="293" t="s">
        <v>469</v>
      </c>
      <c r="CD64" s="293" t="s">
        <v>469</v>
      </c>
      <c r="CE64" s="293" t="s">
        <v>469</v>
      </c>
      <c r="CF64" s="293" t="s">
        <v>469</v>
      </c>
      <c r="CG64" s="294" t="s">
        <v>469</v>
      </c>
      <c r="CI64" s="288" t="s">
        <v>469</v>
      </c>
      <c r="CJ64" s="292" t="s">
        <v>469</v>
      </c>
      <c r="CK64" s="293" t="s">
        <v>469</v>
      </c>
      <c r="CL64" s="293" t="s">
        <v>469</v>
      </c>
      <c r="CM64" s="293" t="s">
        <v>469</v>
      </c>
      <c r="CN64" s="293" t="s">
        <v>469</v>
      </c>
      <c r="CO64" s="294" t="s">
        <v>469</v>
      </c>
      <c r="CQ64" s="295" t="e">
        <v>#REF!</v>
      </c>
      <c r="CR64" s="209" t="e">
        <v>#REF!</v>
      </c>
    </row>
    <row r="65" spans="2:96" ht="11.25">
      <c r="B65" s="437"/>
      <c r="C65" s="403"/>
      <c r="D65" s="403"/>
      <c r="E65" s="397" t="s">
        <v>387</v>
      </c>
      <c r="F65" s="415"/>
      <c r="G65" s="401"/>
      <c r="H65" s="438">
        <v>9.461255005268704</v>
      </c>
      <c r="I65" s="361"/>
      <c r="J65" s="360">
        <v>0</v>
      </c>
      <c r="M65" s="209"/>
      <c r="O65" s="264"/>
      <c r="P65" s="342"/>
      <c r="Q65" s="244"/>
      <c r="R65" s="245"/>
      <c r="S65" s="285"/>
      <c r="T65" s="362"/>
      <c r="U65" s="287"/>
      <c r="W65" s="248"/>
      <c r="X65" s="271" t="s">
        <v>469</v>
      </c>
      <c r="Y65" s="271" t="s">
        <v>469</v>
      </c>
      <c r="Z65" s="271" t="s">
        <v>469</v>
      </c>
      <c r="AA65" s="271" t="s">
        <v>469</v>
      </c>
      <c r="AB65" s="271" t="s">
        <v>469</v>
      </c>
      <c r="AC65" s="272" t="s">
        <v>469</v>
      </c>
      <c r="AE65" s="288" t="s">
        <v>469</v>
      </c>
      <c r="AF65" s="292" t="s">
        <v>469</v>
      </c>
      <c r="AG65" s="293" t="s">
        <v>469</v>
      </c>
      <c r="AH65" s="293" t="s">
        <v>469</v>
      </c>
      <c r="AI65" s="293" t="s">
        <v>469</v>
      </c>
      <c r="AJ65" s="293" t="s">
        <v>469</v>
      </c>
      <c r="AK65" s="294" t="s">
        <v>469</v>
      </c>
      <c r="AM65" s="288" t="s">
        <v>469</v>
      </c>
      <c r="AN65" s="292" t="s">
        <v>469</v>
      </c>
      <c r="AO65" s="293" t="s">
        <v>469</v>
      </c>
      <c r="AP65" s="293" t="s">
        <v>469</v>
      </c>
      <c r="AQ65" s="293" t="s">
        <v>469</v>
      </c>
      <c r="AR65" s="293" t="s">
        <v>469</v>
      </c>
      <c r="AS65" s="294" t="s">
        <v>469</v>
      </c>
      <c r="AU65" s="288" t="s">
        <v>469</v>
      </c>
      <c r="AV65" s="292" t="s">
        <v>469</v>
      </c>
      <c r="AW65" s="293" t="s">
        <v>469</v>
      </c>
      <c r="AX65" s="293" t="s">
        <v>469</v>
      </c>
      <c r="AY65" s="293" t="s">
        <v>469</v>
      </c>
      <c r="AZ65" s="293" t="s">
        <v>469</v>
      </c>
      <c r="BA65" s="294" t="s">
        <v>469</v>
      </c>
      <c r="BC65" s="288" t="s">
        <v>469</v>
      </c>
      <c r="BD65" s="292" t="s">
        <v>469</v>
      </c>
      <c r="BE65" s="293" t="s">
        <v>469</v>
      </c>
      <c r="BF65" s="293" t="s">
        <v>469</v>
      </c>
      <c r="BG65" s="293" t="s">
        <v>469</v>
      </c>
      <c r="BH65" s="293" t="s">
        <v>469</v>
      </c>
      <c r="BI65" s="294" t="s">
        <v>469</v>
      </c>
      <c r="BK65" s="288" t="s">
        <v>469</v>
      </c>
      <c r="BL65" s="292" t="s">
        <v>469</v>
      </c>
      <c r="BM65" s="293" t="s">
        <v>469</v>
      </c>
      <c r="BN65" s="293" t="s">
        <v>469</v>
      </c>
      <c r="BO65" s="293" t="s">
        <v>469</v>
      </c>
      <c r="BP65" s="293" t="s">
        <v>469</v>
      </c>
      <c r="BQ65" s="294" t="s">
        <v>469</v>
      </c>
      <c r="BS65" s="288" t="s">
        <v>469</v>
      </c>
      <c r="BT65" s="292" t="s">
        <v>469</v>
      </c>
      <c r="BU65" s="293" t="s">
        <v>469</v>
      </c>
      <c r="BV65" s="293" t="s">
        <v>469</v>
      </c>
      <c r="BW65" s="293" t="s">
        <v>469</v>
      </c>
      <c r="BX65" s="293" t="s">
        <v>469</v>
      </c>
      <c r="BY65" s="294" t="s">
        <v>469</v>
      </c>
      <c r="CA65" s="288" t="s">
        <v>469</v>
      </c>
      <c r="CB65" s="292" t="s">
        <v>469</v>
      </c>
      <c r="CC65" s="293" t="s">
        <v>469</v>
      </c>
      <c r="CD65" s="293" t="s">
        <v>469</v>
      </c>
      <c r="CE65" s="293" t="s">
        <v>469</v>
      </c>
      <c r="CF65" s="293" t="s">
        <v>469</v>
      </c>
      <c r="CG65" s="294" t="s">
        <v>469</v>
      </c>
      <c r="CI65" s="288" t="s">
        <v>469</v>
      </c>
      <c r="CJ65" s="292" t="s">
        <v>469</v>
      </c>
      <c r="CK65" s="293" t="s">
        <v>469</v>
      </c>
      <c r="CL65" s="293" t="s">
        <v>469</v>
      </c>
      <c r="CM65" s="293" t="s">
        <v>469</v>
      </c>
      <c r="CN65" s="293" t="s">
        <v>469</v>
      </c>
      <c r="CO65" s="294" t="s">
        <v>469</v>
      </c>
      <c r="CQ65" s="295"/>
      <c r="CR65" s="209" t="s">
        <v>469</v>
      </c>
    </row>
    <row r="66" spans="2:99" ht="15.75" customHeight="1">
      <c r="B66" s="437"/>
      <c r="C66" s="403" t="s">
        <v>388</v>
      </c>
      <c r="D66" s="403"/>
      <c r="E66" s="397"/>
      <c r="F66" s="415"/>
      <c r="G66" s="401"/>
      <c r="H66" s="363">
        <v>8550000</v>
      </c>
      <c r="I66" s="359"/>
      <c r="L66" s="315"/>
      <c r="M66" s="263" t="e">
        <v>#REF!</v>
      </c>
      <c r="N66" s="207" t="s">
        <v>470</v>
      </c>
      <c r="O66" s="264">
        <v>8000</v>
      </c>
      <c r="P66" s="302" t="s">
        <v>389</v>
      </c>
      <c r="Q66" s="244"/>
      <c r="R66" s="267"/>
      <c r="S66" s="268">
        <v>9055000</v>
      </c>
      <c r="T66" s="268"/>
      <c r="U66" s="269">
        <v>10094760.312151616</v>
      </c>
      <c r="W66" s="248"/>
      <c r="X66" s="271" t="s">
        <v>469</v>
      </c>
      <c r="Y66" s="271" t="s">
        <v>469</v>
      </c>
      <c r="Z66" s="271" t="s">
        <v>469</v>
      </c>
      <c r="AA66" s="271" t="s">
        <v>469</v>
      </c>
      <c r="AB66" s="271" t="s">
        <v>469</v>
      </c>
      <c r="AC66" s="272" t="s">
        <v>469</v>
      </c>
      <c r="AE66" s="288" t="s">
        <v>469</v>
      </c>
      <c r="AF66" s="292" t="s">
        <v>469</v>
      </c>
      <c r="AG66" s="293" t="s">
        <v>469</v>
      </c>
      <c r="AH66" s="293" t="s">
        <v>469</v>
      </c>
      <c r="AI66" s="293" t="s">
        <v>469</v>
      </c>
      <c r="AJ66" s="293" t="s">
        <v>469</v>
      </c>
      <c r="AK66" s="294" t="s">
        <v>469</v>
      </c>
      <c r="AM66" s="288" t="s">
        <v>469</v>
      </c>
      <c r="AN66" s="292" t="s">
        <v>469</v>
      </c>
      <c r="AO66" s="293" t="s">
        <v>469</v>
      </c>
      <c r="AP66" s="293" t="s">
        <v>469</v>
      </c>
      <c r="AQ66" s="293" t="s">
        <v>469</v>
      </c>
      <c r="AR66" s="293" t="s">
        <v>469</v>
      </c>
      <c r="AS66" s="294" t="s">
        <v>469</v>
      </c>
      <c r="AU66" s="288" t="s">
        <v>469</v>
      </c>
      <c r="AV66" s="292" t="s">
        <v>469</v>
      </c>
      <c r="AW66" s="293" t="s">
        <v>469</v>
      </c>
      <c r="AX66" s="293" t="s">
        <v>469</v>
      </c>
      <c r="AY66" s="293" t="s">
        <v>469</v>
      </c>
      <c r="AZ66" s="293" t="s">
        <v>469</v>
      </c>
      <c r="BA66" s="294" t="s">
        <v>469</v>
      </c>
      <c r="BC66" s="288" t="s">
        <v>469</v>
      </c>
      <c r="BD66" s="292" t="s">
        <v>469</v>
      </c>
      <c r="BE66" s="293" t="s">
        <v>469</v>
      </c>
      <c r="BF66" s="293" t="s">
        <v>469</v>
      </c>
      <c r="BG66" s="293" t="s">
        <v>469</v>
      </c>
      <c r="BH66" s="293" t="s">
        <v>469</v>
      </c>
      <c r="BI66" s="294" t="s">
        <v>469</v>
      </c>
      <c r="BK66" s="288" t="s">
        <v>469</v>
      </c>
      <c r="BL66" s="292" t="s">
        <v>469</v>
      </c>
      <c r="BM66" s="293" t="s">
        <v>469</v>
      </c>
      <c r="BN66" s="293" t="s">
        <v>469</v>
      </c>
      <c r="BO66" s="293" t="s">
        <v>469</v>
      </c>
      <c r="BP66" s="293" t="s">
        <v>469</v>
      </c>
      <c r="BQ66" s="294" t="s">
        <v>469</v>
      </c>
      <c r="BS66" s="288" t="s">
        <v>469</v>
      </c>
      <c r="BT66" s="292" t="s">
        <v>469</v>
      </c>
      <c r="BU66" s="293" t="s">
        <v>469</v>
      </c>
      <c r="BV66" s="293" t="s">
        <v>469</v>
      </c>
      <c r="BW66" s="293" t="s">
        <v>469</v>
      </c>
      <c r="BX66" s="293" t="s">
        <v>469</v>
      </c>
      <c r="BY66" s="294" t="s">
        <v>469</v>
      </c>
      <c r="CA66" s="288" t="s">
        <v>469</v>
      </c>
      <c r="CB66" s="292" t="s">
        <v>469</v>
      </c>
      <c r="CC66" s="293" t="s">
        <v>469</v>
      </c>
      <c r="CD66" s="293" t="s">
        <v>469</v>
      </c>
      <c r="CE66" s="293" t="s">
        <v>469</v>
      </c>
      <c r="CF66" s="293" t="s">
        <v>469</v>
      </c>
      <c r="CG66" s="294" t="s">
        <v>469</v>
      </c>
      <c r="CI66" s="288" t="s">
        <v>469</v>
      </c>
      <c r="CJ66" s="292" t="s">
        <v>469</v>
      </c>
      <c r="CK66" s="293" t="s">
        <v>469</v>
      </c>
      <c r="CL66" s="293" t="s">
        <v>469</v>
      </c>
      <c r="CM66" s="293" t="s">
        <v>469</v>
      </c>
      <c r="CN66" s="293" t="s">
        <v>469</v>
      </c>
      <c r="CO66" s="294" t="s">
        <v>469</v>
      </c>
      <c r="CQ66" s="277"/>
      <c r="CR66" s="209" t="s">
        <v>469</v>
      </c>
      <c r="CT66" s="207" t="s">
        <v>468</v>
      </c>
      <c r="CU66" s="278">
        <v>14047300</v>
      </c>
    </row>
    <row r="67" spans="2:96" ht="15.75" customHeight="1">
      <c r="B67" s="437"/>
      <c r="C67" s="415"/>
      <c r="D67" s="415"/>
      <c r="E67" s="397" t="s">
        <v>390</v>
      </c>
      <c r="F67" s="415"/>
      <c r="G67" s="401"/>
      <c r="H67" s="439">
        <v>0.035384679054753135</v>
      </c>
      <c r="I67" s="364"/>
      <c r="L67" s="315"/>
      <c r="M67" s="209" t="e">
        <v>#REF!</v>
      </c>
      <c r="O67" s="344">
        <v>8100</v>
      </c>
      <c r="P67" s="345" t="s">
        <v>391</v>
      </c>
      <c r="Q67" s="244"/>
      <c r="R67" s="245"/>
      <c r="S67" s="285">
        <v>0</v>
      </c>
      <c r="T67" s="286">
        <v>1.1148272017837235</v>
      </c>
      <c r="U67" s="287">
        <v>0</v>
      </c>
      <c r="V67" s="208" t="s">
        <v>285</v>
      </c>
      <c r="W67" s="248" t="s">
        <v>283</v>
      </c>
      <c r="X67" s="271" t="s">
        <v>469</v>
      </c>
      <c r="Y67" s="271" t="s">
        <v>469</v>
      </c>
      <c r="Z67" s="271" t="s">
        <v>469</v>
      </c>
      <c r="AA67" s="271" t="s">
        <v>469</v>
      </c>
      <c r="AB67" s="271" t="s">
        <v>469</v>
      </c>
      <c r="AC67" s="272" t="e">
        <v>#REF!</v>
      </c>
      <c r="AE67" s="288" t="s">
        <v>469</v>
      </c>
      <c r="AF67" s="292" t="s">
        <v>469</v>
      </c>
      <c r="AG67" s="293" t="s">
        <v>469</v>
      </c>
      <c r="AH67" s="293" t="s">
        <v>469</v>
      </c>
      <c r="AI67" s="293" t="s">
        <v>469</v>
      </c>
      <c r="AJ67" s="293" t="s">
        <v>469</v>
      </c>
      <c r="AK67" s="294" t="s">
        <v>469</v>
      </c>
      <c r="AM67" s="288">
        <v>0</v>
      </c>
      <c r="AN67" s="292" t="s">
        <v>469</v>
      </c>
      <c r="AO67" s="293" t="s">
        <v>469</v>
      </c>
      <c r="AP67" s="293" t="s">
        <v>469</v>
      </c>
      <c r="AQ67" s="293" t="s">
        <v>469</v>
      </c>
      <c r="AR67" s="293" t="s">
        <v>469</v>
      </c>
      <c r="AS67" s="294" t="e">
        <v>#REF!</v>
      </c>
      <c r="AU67" s="288" t="s">
        <v>469</v>
      </c>
      <c r="AV67" s="292" t="s">
        <v>469</v>
      </c>
      <c r="AW67" s="293" t="s">
        <v>469</v>
      </c>
      <c r="AX67" s="293" t="s">
        <v>469</v>
      </c>
      <c r="AY67" s="293" t="s">
        <v>469</v>
      </c>
      <c r="AZ67" s="293" t="s">
        <v>469</v>
      </c>
      <c r="BA67" s="294" t="s">
        <v>469</v>
      </c>
      <c r="BC67" s="288" t="s">
        <v>469</v>
      </c>
      <c r="BD67" s="292" t="s">
        <v>469</v>
      </c>
      <c r="BE67" s="293" t="s">
        <v>469</v>
      </c>
      <c r="BF67" s="293" t="s">
        <v>469</v>
      </c>
      <c r="BG67" s="293" t="s">
        <v>469</v>
      </c>
      <c r="BH67" s="293" t="s">
        <v>469</v>
      </c>
      <c r="BI67" s="294" t="s">
        <v>469</v>
      </c>
      <c r="BK67" s="288" t="s">
        <v>469</v>
      </c>
      <c r="BL67" s="292" t="s">
        <v>469</v>
      </c>
      <c r="BM67" s="293" t="s">
        <v>469</v>
      </c>
      <c r="BN67" s="293" t="s">
        <v>469</v>
      </c>
      <c r="BO67" s="293" t="s">
        <v>469</v>
      </c>
      <c r="BP67" s="293" t="s">
        <v>469</v>
      </c>
      <c r="BQ67" s="294" t="s">
        <v>469</v>
      </c>
      <c r="BS67" s="288" t="s">
        <v>469</v>
      </c>
      <c r="BT67" s="292" t="s">
        <v>469</v>
      </c>
      <c r="BU67" s="293" t="s">
        <v>469</v>
      </c>
      <c r="BV67" s="293" t="s">
        <v>469</v>
      </c>
      <c r="BW67" s="293" t="s">
        <v>469</v>
      </c>
      <c r="BX67" s="293" t="s">
        <v>469</v>
      </c>
      <c r="BY67" s="294" t="s">
        <v>469</v>
      </c>
      <c r="CA67" s="288" t="s">
        <v>469</v>
      </c>
      <c r="CB67" s="292" t="s">
        <v>469</v>
      </c>
      <c r="CC67" s="293" t="s">
        <v>469</v>
      </c>
      <c r="CD67" s="293" t="s">
        <v>469</v>
      </c>
      <c r="CE67" s="293" t="s">
        <v>469</v>
      </c>
      <c r="CF67" s="293" t="s">
        <v>469</v>
      </c>
      <c r="CG67" s="294" t="s">
        <v>469</v>
      </c>
      <c r="CI67" s="288" t="s">
        <v>469</v>
      </c>
      <c r="CJ67" s="292" t="s">
        <v>469</v>
      </c>
      <c r="CK67" s="293" t="s">
        <v>469</v>
      </c>
      <c r="CL67" s="293" t="s">
        <v>469</v>
      </c>
      <c r="CM67" s="293" t="s">
        <v>469</v>
      </c>
      <c r="CN67" s="293" t="s">
        <v>469</v>
      </c>
      <c r="CO67" s="294" t="s">
        <v>469</v>
      </c>
      <c r="CQ67" s="295" t="e">
        <v>#REF!</v>
      </c>
      <c r="CR67" s="209" t="e">
        <v>#REF!</v>
      </c>
    </row>
    <row r="68" spans="2:96" ht="15.75" customHeight="1">
      <c r="B68" s="365"/>
      <c r="C68" s="366"/>
      <c r="D68" s="366"/>
      <c r="E68" s="367"/>
      <c r="F68" s="366"/>
      <c r="G68" s="368"/>
      <c r="H68" s="369"/>
      <c r="I68" s="370"/>
      <c r="J68" s="367"/>
      <c r="L68" s="315"/>
      <c r="M68" s="209" t="e">
        <v>#REF!</v>
      </c>
      <c r="O68" s="344">
        <v>8200</v>
      </c>
      <c r="P68" s="345" t="s">
        <v>392</v>
      </c>
      <c r="Q68" s="244"/>
      <c r="R68" s="245"/>
      <c r="S68" s="285">
        <v>9025000</v>
      </c>
      <c r="T68" s="286">
        <v>1.1148272017837235</v>
      </c>
      <c r="U68" s="287">
        <v>10061315.496098105</v>
      </c>
      <c r="V68" s="208" t="s">
        <v>285</v>
      </c>
      <c r="W68" s="248" t="s">
        <v>283</v>
      </c>
      <c r="X68" s="271" t="s">
        <v>469</v>
      </c>
      <c r="Y68" s="271" t="s">
        <v>469</v>
      </c>
      <c r="Z68" s="271" t="s">
        <v>469</v>
      </c>
      <c r="AA68" s="271" t="s">
        <v>469</v>
      </c>
      <c r="AB68" s="271" t="s">
        <v>469</v>
      </c>
      <c r="AC68" s="272" t="e">
        <v>#REF!</v>
      </c>
      <c r="AE68" s="288" t="s">
        <v>469</v>
      </c>
      <c r="AF68" s="292" t="s">
        <v>469</v>
      </c>
      <c r="AG68" s="293" t="s">
        <v>469</v>
      </c>
      <c r="AH68" s="293" t="s">
        <v>469</v>
      </c>
      <c r="AI68" s="293" t="s">
        <v>469</v>
      </c>
      <c r="AJ68" s="293" t="s">
        <v>469</v>
      </c>
      <c r="AK68" s="294" t="s">
        <v>469</v>
      </c>
      <c r="AM68" s="288">
        <v>10061315.496098105</v>
      </c>
      <c r="AN68" s="292" t="s">
        <v>469</v>
      </c>
      <c r="AO68" s="293" t="s">
        <v>469</v>
      </c>
      <c r="AP68" s="293" t="s">
        <v>469</v>
      </c>
      <c r="AQ68" s="293" t="s">
        <v>469</v>
      </c>
      <c r="AR68" s="293" t="s">
        <v>469</v>
      </c>
      <c r="AS68" s="294" t="e">
        <v>#REF!</v>
      </c>
      <c r="AU68" s="288" t="s">
        <v>469</v>
      </c>
      <c r="AV68" s="292" t="s">
        <v>469</v>
      </c>
      <c r="AW68" s="293" t="s">
        <v>469</v>
      </c>
      <c r="AX68" s="293" t="s">
        <v>469</v>
      </c>
      <c r="AY68" s="293" t="s">
        <v>469</v>
      </c>
      <c r="AZ68" s="293" t="s">
        <v>469</v>
      </c>
      <c r="BA68" s="294" t="s">
        <v>469</v>
      </c>
      <c r="BC68" s="288" t="s">
        <v>469</v>
      </c>
      <c r="BD68" s="292" t="s">
        <v>469</v>
      </c>
      <c r="BE68" s="293" t="s">
        <v>469</v>
      </c>
      <c r="BF68" s="293" t="s">
        <v>469</v>
      </c>
      <c r="BG68" s="293" t="s">
        <v>469</v>
      </c>
      <c r="BH68" s="293" t="s">
        <v>469</v>
      </c>
      <c r="BI68" s="294" t="s">
        <v>469</v>
      </c>
      <c r="BK68" s="288" t="s">
        <v>469</v>
      </c>
      <c r="BL68" s="292" t="s">
        <v>469</v>
      </c>
      <c r="BM68" s="293" t="s">
        <v>469</v>
      </c>
      <c r="BN68" s="293" t="s">
        <v>469</v>
      </c>
      <c r="BO68" s="293" t="s">
        <v>469</v>
      </c>
      <c r="BP68" s="293" t="s">
        <v>469</v>
      </c>
      <c r="BQ68" s="294" t="s">
        <v>469</v>
      </c>
      <c r="BS68" s="288" t="s">
        <v>469</v>
      </c>
      <c r="BT68" s="292" t="s">
        <v>469</v>
      </c>
      <c r="BU68" s="293" t="s">
        <v>469</v>
      </c>
      <c r="BV68" s="293" t="s">
        <v>469</v>
      </c>
      <c r="BW68" s="293" t="s">
        <v>469</v>
      </c>
      <c r="BX68" s="293" t="s">
        <v>469</v>
      </c>
      <c r="BY68" s="294" t="s">
        <v>469</v>
      </c>
      <c r="CA68" s="288" t="s">
        <v>469</v>
      </c>
      <c r="CB68" s="292" t="s">
        <v>469</v>
      </c>
      <c r="CC68" s="293" t="s">
        <v>469</v>
      </c>
      <c r="CD68" s="293" t="s">
        <v>469</v>
      </c>
      <c r="CE68" s="293" t="s">
        <v>469</v>
      </c>
      <c r="CF68" s="293" t="s">
        <v>469</v>
      </c>
      <c r="CG68" s="294" t="s">
        <v>469</v>
      </c>
      <c r="CI68" s="288" t="s">
        <v>469</v>
      </c>
      <c r="CJ68" s="292" t="s">
        <v>469</v>
      </c>
      <c r="CK68" s="293" t="s">
        <v>469</v>
      </c>
      <c r="CL68" s="293" t="s">
        <v>469</v>
      </c>
      <c r="CM68" s="293" t="s">
        <v>469</v>
      </c>
      <c r="CN68" s="293" t="s">
        <v>469</v>
      </c>
      <c r="CO68" s="294" t="s">
        <v>469</v>
      </c>
      <c r="CQ68" s="295" t="e">
        <v>#REF!</v>
      </c>
      <c r="CR68" s="209" t="e">
        <v>#REF!</v>
      </c>
    </row>
    <row r="69" spans="2:96" ht="15.75" customHeight="1">
      <c r="B69" s="365"/>
      <c r="C69" s="366"/>
      <c r="D69" s="366"/>
      <c r="E69" s="367"/>
      <c r="F69" s="366"/>
      <c r="G69" s="368"/>
      <c r="H69" s="369"/>
      <c r="I69" s="370"/>
      <c r="J69" s="367"/>
      <c r="L69" s="315"/>
      <c r="M69" s="209" t="e">
        <v>#REF!</v>
      </c>
      <c r="O69" s="344">
        <v>8300</v>
      </c>
      <c r="P69" s="345" t="s">
        <v>393</v>
      </c>
      <c r="Q69" s="244"/>
      <c r="R69" s="245"/>
      <c r="S69" s="285">
        <v>30000</v>
      </c>
      <c r="T69" s="286">
        <v>1.1148272017837235</v>
      </c>
      <c r="U69" s="287">
        <v>33444.816053511706</v>
      </c>
      <c r="V69" s="208" t="s">
        <v>285</v>
      </c>
      <c r="W69" s="248" t="s">
        <v>279</v>
      </c>
      <c r="X69" s="271" t="e">
        <v>#REF!</v>
      </c>
      <c r="Y69" s="271" t="s">
        <v>469</v>
      </c>
      <c r="Z69" s="271" t="s">
        <v>469</v>
      </c>
      <c r="AA69" s="271" t="s">
        <v>469</v>
      </c>
      <c r="AB69" s="271" t="s">
        <v>469</v>
      </c>
      <c r="AC69" s="272" t="s">
        <v>469</v>
      </c>
      <c r="AE69" s="288" t="s">
        <v>469</v>
      </c>
      <c r="AF69" s="292" t="s">
        <v>469</v>
      </c>
      <c r="AG69" s="293" t="s">
        <v>469</v>
      </c>
      <c r="AH69" s="293" t="s">
        <v>469</v>
      </c>
      <c r="AI69" s="293" t="s">
        <v>469</v>
      </c>
      <c r="AJ69" s="293" t="s">
        <v>469</v>
      </c>
      <c r="AK69" s="294" t="s">
        <v>469</v>
      </c>
      <c r="AM69" s="288">
        <v>33444.816053511706</v>
      </c>
      <c r="AN69" s="292" t="e">
        <v>#REF!</v>
      </c>
      <c r="AO69" s="293" t="s">
        <v>469</v>
      </c>
      <c r="AP69" s="293" t="s">
        <v>469</v>
      </c>
      <c r="AQ69" s="293" t="s">
        <v>469</v>
      </c>
      <c r="AR69" s="293" t="s">
        <v>469</v>
      </c>
      <c r="AS69" s="294" t="s">
        <v>469</v>
      </c>
      <c r="AU69" s="288" t="s">
        <v>469</v>
      </c>
      <c r="AV69" s="292" t="s">
        <v>469</v>
      </c>
      <c r="AW69" s="293" t="s">
        <v>469</v>
      </c>
      <c r="AX69" s="293" t="s">
        <v>469</v>
      </c>
      <c r="AY69" s="293" t="s">
        <v>469</v>
      </c>
      <c r="AZ69" s="293" t="s">
        <v>469</v>
      </c>
      <c r="BA69" s="294" t="s">
        <v>469</v>
      </c>
      <c r="BC69" s="288" t="s">
        <v>469</v>
      </c>
      <c r="BD69" s="292" t="s">
        <v>469</v>
      </c>
      <c r="BE69" s="293" t="s">
        <v>469</v>
      </c>
      <c r="BF69" s="293" t="s">
        <v>469</v>
      </c>
      <c r="BG69" s="293" t="s">
        <v>469</v>
      </c>
      <c r="BH69" s="293" t="s">
        <v>469</v>
      </c>
      <c r="BI69" s="294" t="s">
        <v>469</v>
      </c>
      <c r="BK69" s="288" t="s">
        <v>469</v>
      </c>
      <c r="BL69" s="292" t="s">
        <v>469</v>
      </c>
      <c r="BM69" s="293" t="s">
        <v>469</v>
      </c>
      <c r="BN69" s="293" t="s">
        <v>469</v>
      </c>
      <c r="BO69" s="293" t="s">
        <v>469</v>
      </c>
      <c r="BP69" s="293" t="s">
        <v>469</v>
      </c>
      <c r="BQ69" s="294" t="s">
        <v>469</v>
      </c>
      <c r="BS69" s="288" t="s">
        <v>469</v>
      </c>
      <c r="BT69" s="292" t="s">
        <v>469</v>
      </c>
      <c r="BU69" s="293" t="s">
        <v>469</v>
      </c>
      <c r="BV69" s="293" t="s">
        <v>469</v>
      </c>
      <c r="BW69" s="293" t="s">
        <v>469</v>
      </c>
      <c r="BX69" s="293" t="s">
        <v>469</v>
      </c>
      <c r="BY69" s="294" t="s">
        <v>469</v>
      </c>
      <c r="CA69" s="288" t="s">
        <v>469</v>
      </c>
      <c r="CB69" s="292" t="s">
        <v>469</v>
      </c>
      <c r="CC69" s="293" t="s">
        <v>469</v>
      </c>
      <c r="CD69" s="293" t="s">
        <v>469</v>
      </c>
      <c r="CE69" s="293" t="s">
        <v>469</v>
      </c>
      <c r="CF69" s="293" t="s">
        <v>469</v>
      </c>
      <c r="CG69" s="294" t="s">
        <v>469</v>
      </c>
      <c r="CI69" s="288" t="s">
        <v>469</v>
      </c>
      <c r="CJ69" s="292" t="s">
        <v>469</v>
      </c>
      <c r="CK69" s="293" t="s">
        <v>469</v>
      </c>
      <c r="CL69" s="293" t="s">
        <v>469</v>
      </c>
      <c r="CM69" s="293" t="s">
        <v>469</v>
      </c>
      <c r="CN69" s="293" t="s">
        <v>469</v>
      </c>
      <c r="CO69" s="294" t="s">
        <v>469</v>
      </c>
      <c r="CQ69" s="295" t="e">
        <v>#REF!</v>
      </c>
      <c r="CR69" s="209"/>
    </row>
    <row r="70" spans="2:95" ht="15.75" customHeight="1">
      <c r="B70" s="365"/>
      <c r="C70" s="366"/>
      <c r="D70" s="366"/>
      <c r="E70" s="367"/>
      <c r="F70" s="366"/>
      <c r="G70" s="368"/>
      <c r="H70" s="369"/>
      <c r="I70" s="370"/>
      <c r="J70" s="367"/>
      <c r="L70" s="315"/>
      <c r="M70" s="209"/>
      <c r="O70" s="371"/>
      <c r="P70" s="242"/>
      <c r="Q70" s="242"/>
      <c r="R70" s="372"/>
      <c r="S70" s="373"/>
      <c r="T70" s="246"/>
      <c r="U70" s="247"/>
      <c r="W70" s="248"/>
      <c r="X70" s="271" t="s">
        <v>469</v>
      </c>
      <c r="Y70" s="271" t="s">
        <v>469</v>
      </c>
      <c r="Z70" s="271" t="s">
        <v>469</v>
      </c>
      <c r="AA70" s="271" t="s">
        <v>469</v>
      </c>
      <c r="AB70" s="271" t="s">
        <v>469</v>
      </c>
      <c r="AC70" s="272" t="s">
        <v>469</v>
      </c>
      <c r="AE70" s="288" t="s">
        <v>469</v>
      </c>
      <c r="AF70" s="292" t="s">
        <v>469</v>
      </c>
      <c r="AG70" s="293" t="s">
        <v>469</v>
      </c>
      <c r="AH70" s="293" t="s">
        <v>469</v>
      </c>
      <c r="AI70" s="293" t="s">
        <v>469</v>
      </c>
      <c r="AJ70" s="293" t="s">
        <v>469</v>
      </c>
      <c r="AK70" s="294" t="s">
        <v>469</v>
      </c>
      <c r="AM70" s="288" t="s">
        <v>469</v>
      </c>
      <c r="AN70" s="292" t="s">
        <v>469</v>
      </c>
      <c r="AO70" s="293" t="s">
        <v>469</v>
      </c>
      <c r="AP70" s="293" t="s">
        <v>469</v>
      </c>
      <c r="AQ70" s="293" t="s">
        <v>469</v>
      </c>
      <c r="AR70" s="293" t="s">
        <v>469</v>
      </c>
      <c r="AS70" s="294" t="s">
        <v>469</v>
      </c>
      <c r="AU70" s="288" t="s">
        <v>469</v>
      </c>
      <c r="AV70" s="292" t="s">
        <v>469</v>
      </c>
      <c r="AW70" s="293" t="s">
        <v>469</v>
      </c>
      <c r="AX70" s="293" t="s">
        <v>469</v>
      </c>
      <c r="AY70" s="293" t="s">
        <v>469</v>
      </c>
      <c r="AZ70" s="293" t="s">
        <v>469</v>
      </c>
      <c r="BA70" s="294" t="s">
        <v>469</v>
      </c>
      <c r="BC70" s="288" t="s">
        <v>469</v>
      </c>
      <c r="BD70" s="292" t="s">
        <v>469</v>
      </c>
      <c r="BE70" s="293" t="s">
        <v>469</v>
      </c>
      <c r="BF70" s="293" t="s">
        <v>469</v>
      </c>
      <c r="BG70" s="293" t="s">
        <v>469</v>
      </c>
      <c r="BH70" s="293" t="s">
        <v>469</v>
      </c>
      <c r="BI70" s="294" t="s">
        <v>469</v>
      </c>
      <c r="BK70" s="288" t="s">
        <v>469</v>
      </c>
      <c r="BL70" s="292" t="s">
        <v>469</v>
      </c>
      <c r="BM70" s="293" t="s">
        <v>469</v>
      </c>
      <c r="BN70" s="293" t="s">
        <v>469</v>
      </c>
      <c r="BO70" s="293" t="s">
        <v>469</v>
      </c>
      <c r="BP70" s="293" t="s">
        <v>469</v>
      </c>
      <c r="BQ70" s="294" t="s">
        <v>469</v>
      </c>
      <c r="BS70" s="288" t="s">
        <v>469</v>
      </c>
      <c r="BT70" s="292" t="s">
        <v>469</v>
      </c>
      <c r="BU70" s="293" t="s">
        <v>469</v>
      </c>
      <c r="BV70" s="293" t="s">
        <v>469</v>
      </c>
      <c r="BW70" s="293" t="s">
        <v>469</v>
      </c>
      <c r="BX70" s="293" t="s">
        <v>469</v>
      </c>
      <c r="BY70" s="294" t="s">
        <v>469</v>
      </c>
      <c r="CA70" s="288" t="s">
        <v>469</v>
      </c>
      <c r="CB70" s="292" t="s">
        <v>469</v>
      </c>
      <c r="CC70" s="293" t="s">
        <v>469</v>
      </c>
      <c r="CD70" s="293" t="s">
        <v>469</v>
      </c>
      <c r="CE70" s="293" t="s">
        <v>469</v>
      </c>
      <c r="CF70" s="293" t="s">
        <v>469</v>
      </c>
      <c r="CG70" s="294" t="s">
        <v>469</v>
      </c>
      <c r="CI70" s="288" t="s">
        <v>469</v>
      </c>
      <c r="CJ70" s="292" t="s">
        <v>469</v>
      </c>
      <c r="CK70" s="293" t="s">
        <v>469</v>
      </c>
      <c r="CL70" s="293" t="s">
        <v>469</v>
      </c>
      <c r="CM70" s="293" t="s">
        <v>469</v>
      </c>
      <c r="CN70" s="293" t="s">
        <v>469</v>
      </c>
      <c r="CO70" s="294" t="s">
        <v>469</v>
      </c>
      <c r="CQ70" s="295" t="e">
        <v>#REF!</v>
      </c>
    </row>
    <row r="71" spans="2:95" ht="15.75" customHeight="1">
      <c r="B71" s="365"/>
      <c r="C71" s="366"/>
      <c r="D71" s="366"/>
      <c r="E71" s="367"/>
      <c r="F71" s="366"/>
      <c r="G71" s="374"/>
      <c r="H71" s="369"/>
      <c r="I71" s="370"/>
      <c r="J71" s="367"/>
      <c r="L71" s="315"/>
      <c r="M71" s="263"/>
      <c r="O71" s="375"/>
      <c r="P71" s="376" t="s">
        <v>394</v>
      </c>
      <c r="Q71" s="377"/>
      <c r="R71" s="378"/>
      <c r="S71" s="379" t="e">
        <v>#REF!</v>
      </c>
      <c r="T71" s="379"/>
      <c r="U71" s="380" t="e">
        <v>#REF!</v>
      </c>
      <c r="W71" s="248"/>
      <c r="X71" s="271" t="s">
        <v>469</v>
      </c>
      <c r="Y71" s="271" t="s">
        <v>469</v>
      </c>
      <c r="Z71" s="271" t="s">
        <v>469</v>
      </c>
      <c r="AA71" s="271" t="s">
        <v>469</v>
      </c>
      <c r="AB71" s="271" t="s">
        <v>469</v>
      </c>
      <c r="AC71" s="272" t="s">
        <v>469</v>
      </c>
      <c r="AE71" s="288" t="s">
        <v>469</v>
      </c>
      <c r="AF71" s="292" t="s">
        <v>469</v>
      </c>
      <c r="AG71" s="293" t="s">
        <v>469</v>
      </c>
      <c r="AH71" s="293" t="s">
        <v>469</v>
      </c>
      <c r="AI71" s="293" t="s">
        <v>469</v>
      </c>
      <c r="AJ71" s="293" t="s">
        <v>469</v>
      </c>
      <c r="AK71" s="294" t="s">
        <v>469</v>
      </c>
      <c r="AM71" s="288" t="s">
        <v>469</v>
      </c>
      <c r="AN71" s="292" t="s">
        <v>469</v>
      </c>
      <c r="AO71" s="293" t="s">
        <v>469</v>
      </c>
      <c r="AP71" s="293" t="s">
        <v>469</v>
      </c>
      <c r="AQ71" s="293" t="s">
        <v>469</v>
      </c>
      <c r="AR71" s="293" t="s">
        <v>469</v>
      </c>
      <c r="AS71" s="294" t="s">
        <v>469</v>
      </c>
      <c r="AU71" s="288" t="s">
        <v>469</v>
      </c>
      <c r="AV71" s="292" t="s">
        <v>469</v>
      </c>
      <c r="AW71" s="293" t="s">
        <v>469</v>
      </c>
      <c r="AX71" s="293" t="s">
        <v>469</v>
      </c>
      <c r="AY71" s="293" t="s">
        <v>469</v>
      </c>
      <c r="AZ71" s="293" t="s">
        <v>469</v>
      </c>
      <c r="BA71" s="294" t="s">
        <v>469</v>
      </c>
      <c r="BC71" s="288" t="s">
        <v>469</v>
      </c>
      <c r="BD71" s="292" t="s">
        <v>469</v>
      </c>
      <c r="BE71" s="293" t="s">
        <v>469</v>
      </c>
      <c r="BF71" s="293" t="s">
        <v>469</v>
      </c>
      <c r="BG71" s="293" t="s">
        <v>469</v>
      </c>
      <c r="BH71" s="293" t="s">
        <v>469</v>
      </c>
      <c r="BI71" s="294" t="s">
        <v>469</v>
      </c>
      <c r="BK71" s="288" t="s">
        <v>469</v>
      </c>
      <c r="BL71" s="292" t="s">
        <v>469</v>
      </c>
      <c r="BM71" s="293" t="s">
        <v>469</v>
      </c>
      <c r="BN71" s="293" t="s">
        <v>469</v>
      </c>
      <c r="BO71" s="293" t="s">
        <v>469</v>
      </c>
      <c r="BP71" s="293" t="s">
        <v>469</v>
      </c>
      <c r="BQ71" s="294" t="s">
        <v>469</v>
      </c>
      <c r="BS71" s="288" t="s">
        <v>469</v>
      </c>
      <c r="BT71" s="292" t="s">
        <v>469</v>
      </c>
      <c r="BU71" s="293" t="s">
        <v>469</v>
      </c>
      <c r="BV71" s="293" t="s">
        <v>469</v>
      </c>
      <c r="BW71" s="293" t="s">
        <v>469</v>
      </c>
      <c r="BX71" s="293" t="s">
        <v>469</v>
      </c>
      <c r="BY71" s="294" t="s">
        <v>469</v>
      </c>
      <c r="CA71" s="288" t="s">
        <v>469</v>
      </c>
      <c r="CB71" s="292" t="s">
        <v>469</v>
      </c>
      <c r="CC71" s="293" t="s">
        <v>469</v>
      </c>
      <c r="CD71" s="293" t="s">
        <v>469</v>
      </c>
      <c r="CE71" s="293" t="s">
        <v>469</v>
      </c>
      <c r="CF71" s="293" t="s">
        <v>469</v>
      </c>
      <c r="CG71" s="294" t="s">
        <v>469</v>
      </c>
      <c r="CI71" s="288" t="s">
        <v>469</v>
      </c>
      <c r="CJ71" s="292" t="s">
        <v>469</v>
      </c>
      <c r="CK71" s="293" t="s">
        <v>469</v>
      </c>
      <c r="CL71" s="293" t="s">
        <v>469</v>
      </c>
      <c r="CM71" s="293" t="s">
        <v>469</v>
      </c>
      <c r="CN71" s="293" t="s">
        <v>469</v>
      </c>
      <c r="CO71" s="294" t="s">
        <v>469</v>
      </c>
      <c r="CQ71" s="295"/>
    </row>
    <row r="72" spans="2:95" ht="15.75" customHeight="1" thickBot="1">
      <c r="B72" s="365"/>
      <c r="C72" s="366"/>
      <c r="D72" s="366"/>
      <c r="E72" s="367"/>
      <c r="F72" s="366"/>
      <c r="G72" s="374"/>
      <c r="H72" s="369"/>
      <c r="I72" s="370"/>
      <c r="J72" s="367"/>
      <c r="L72" s="315"/>
      <c r="M72" s="209"/>
      <c r="W72" s="248"/>
      <c r="X72" s="271" t="s">
        <v>469</v>
      </c>
      <c r="Y72" s="271" t="s">
        <v>469</v>
      </c>
      <c r="Z72" s="271" t="s">
        <v>469</v>
      </c>
      <c r="AA72" s="271" t="s">
        <v>469</v>
      </c>
      <c r="AB72" s="271" t="s">
        <v>469</v>
      </c>
      <c r="AC72" s="272" t="s">
        <v>469</v>
      </c>
      <c r="AE72" s="288" t="s">
        <v>469</v>
      </c>
      <c r="AF72" s="292" t="s">
        <v>469</v>
      </c>
      <c r="AG72" s="293" t="s">
        <v>469</v>
      </c>
      <c r="AH72" s="293" t="s">
        <v>469</v>
      </c>
      <c r="AI72" s="293" t="s">
        <v>469</v>
      </c>
      <c r="AJ72" s="293" t="s">
        <v>469</v>
      </c>
      <c r="AK72" s="294" t="s">
        <v>469</v>
      </c>
      <c r="AM72" s="288" t="s">
        <v>469</v>
      </c>
      <c r="AN72" s="292" t="s">
        <v>469</v>
      </c>
      <c r="AO72" s="293" t="s">
        <v>469</v>
      </c>
      <c r="AP72" s="293" t="s">
        <v>469</v>
      </c>
      <c r="AQ72" s="293" t="s">
        <v>469</v>
      </c>
      <c r="AR72" s="293" t="s">
        <v>469</v>
      </c>
      <c r="AS72" s="294" t="s">
        <v>469</v>
      </c>
      <c r="AU72" s="288" t="s">
        <v>469</v>
      </c>
      <c r="AV72" s="292" t="s">
        <v>469</v>
      </c>
      <c r="AW72" s="293" t="s">
        <v>469</v>
      </c>
      <c r="AX72" s="293" t="s">
        <v>469</v>
      </c>
      <c r="AY72" s="293" t="s">
        <v>469</v>
      </c>
      <c r="AZ72" s="293" t="s">
        <v>469</v>
      </c>
      <c r="BA72" s="294" t="s">
        <v>469</v>
      </c>
      <c r="BC72" s="288" t="s">
        <v>469</v>
      </c>
      <c r="BD72" s="292" t="s">
        <v>469</v>
      </c>
      <c r="BE72" s="293" t="s">
        <v>469</v>
      </c>
      <c r="BF72" s="293" t="s">
        <v>469</v>
      </c>
      <c r="BG72" s="293" t="s">
        <v>469</v>
      </c>
      <c r="BH72" s="293" t="s">
        <v>469</v>
      </c>
      <c r="BI72" s="294" t="s">
        <v>469</v>
      </c>
      <c r="BK72" s="288" t="s">
        <v>469</v>
      </c>
      <c r="BL72" s="292" t="s">
        <v>469</v>
      </c>
      <c r="BM72" s="293" t="s">
        <v>469</v>
      </c>
      <c r="BN72" s="293" t="s">
        <v>469</v>
      </c>
      <c r="BO72" s="293" t="s">
        <v>469</v>
      </c>
      <c r="BP72" s="293" t="s">
        <v>469</v>
      </c>
      <c r="BQ72" s="294" t="s">
        <v>469</v>
      </c>
      <c r="BS72" s="288" t="s">
        <v>469</v>
      </c>
      <c r="BT72" s="292" t="s">
        <v>469</v>
      </c>
      <c r="BU72" s="293" t="s">
        <v>469</v>
      </c>
      <c r="BV72" s="293" t="s">
        <v>469</v>
      </c>
      <c r="BW72" s="293" t="s">
        <v>469</v>
      </c>
      <c r="BX72" s="293" t="s">
        <v>469</v>
      </c>
      <c r="BY72" s="294" t="s">
        <v>469</v>
      </c>
      <c r="CA72" s="288" t="s">
        <v>469</v>
      </c>
      <c r="CB72" s="292" t="s">
        <v>469</v>
      </c>
      <c r="CC72" s="293" t="s">
        <v>469</v>
      </c>
      <c r="CD72" s="293" t="s">
        <v>469</v>
      </c>
      <c r="CE72" s="293" t="s">
        <v>469</v>
      </c>
      <c r="CF72" s="293" t="s">
        <v>469</v>
      </c>
      <c r="CG72" s="294" t="s">
        <v>469</v>
      </c>
      <c r="CI72" s="288" t="s">
        <v>469</v>
      </c>
      <c r="CJ72" s="292" t="s">
        <v>469</v>
      </c>
      <c r="CK72" s="293" t="s">
        <v>469</v>
      </c>
      <c r="CL72" s="293" t="s">
        <v>469</v>
      </c>
      <c r="CM72" s="293" t="s">
        <v>469</v>
      </c>
      <c r="CN72" s="293" t="s">
        <v>469</v>
      </c>
      <c r="CO72" s="294" t="s">
        <v>469</v>
      </c>
      <c r="CQ72" s="295" t="e">
        <v>#REF!</v>
      </c>
    </row>
    <row r="73" spans="2:95" ht="15.75" customHeight="1" thickBot="1">
      <c r="B73" s="365"/>
      <c r="C73" s="366"/>
      <c r="D73" s="366"/>
      <c r="E73" s="367"/>
      <c r="F73" s="366"/>
      <c r="G73" s="374"/>
      <c r="H73" s="369"/>
      <c r="I73" s="370"/>
      <c r="J73" s="367"/>
      <c r="L73" s="315"/>
      <c r="M73" s="263" t="e">
        <v>#REF!</v>
      </c>
      <c r="O73" s="381"/>
      <c r="P73" s="382" t="s">
        <v>471</v>
      </c>
      <c r="Q73" s="383"/>
      <c r="R73" s="383"/>
      <c r="S73" s="384">
        <v>0</v>
      </c>
      <c r="T73" s="385">
        <v>1.1148272017837235</v>
      </c>
      <c r="U73" s="386">
        <v>0</v>
      </c>
      <c r="V73" s="208" t="s">
        <v>290</v>
      </c>
      <c r="W73" s="248" t="s">
        <v>210</v>
      </c>
      <c r="X73" s="271" t="s">
        <v>469</v>
      </c>
      <c r="Y73" s="271" t="s">
        <v>469</v>
      </c>
      <c r="Z73" s="271" t="s">
        <v>469</v>
      </c>
      <c r="AA73" s="271" t="e">
        <v>#REF!</v>
      </c>
      <c r="AB73" s="271" t="s">
        <v>469</v>
      </c>
      <c r="AC73" s="272" t="s">
        <v>469</v>
      </c>
      <c r="AE73" s="288" t="s">
        <v>469</v>
      </c>
      <c r="AF73" s="292" t="s">
        <v>469</v>
      </c>
      <c r="AG73" s="293" t="s">
        <v>469</v>
      </c>
      <c r="AH73" s="293" t="s">
        <v>469</v>
      </c>
      <c r="AI73" s="293" t="s">
        <v>469</v>
      </c>
      <c r="AJ73" s="293" t="s">
        <v>469</v>
      </c>
      <c r="AK73" s="294" t="s">
        <v>469</v>
      </c>
      <c r="AM73" s="288" t="s">
        <v>469</v>
      </c>
      <c r="AN73" s="292" t="s">
        <v>469</v>
      </c>
      <c r="AO73" s="293" t="s">
        <v>469</v>
      </c>
      <c r="AP73" s="293" t="s">
        <v>469</v>
      </c>
      <c r="AQ73" s="293" t="s">
        <v>469</v>
      </c>
      <c r="AR73" s="293" t="s">
        <v>469</v>
      </c>
      <c r="AS73" s="294" t="s">
        <v>469</v>
      </c>
      <c r="AU73" s="288" t="s">
        <v>469</v>
      </c>
      <c r="AV73" s="292" t="s">
        <v>469</v>
      </c>
      <c r="AW73" s="293" t="s">
        <v>469</v>
      </c>
      <c r="AX73" s="293" t="s">
        <v>469</v>
      </c>
      <c r="AY73" s="293" t="s">
        <v>469</v>
      </c>
      <c r="AZ73" s="293" t="s">
        <v>469</v>
      </c>
      <c r="BA73" s="294" t="s">
        <v>469</v>
      </c>
      <c r="BC73" s="288" t="s">
        <v>469</v>
      </c>
      <c r="BD73" s="292" t="s">
        <v>469</v>
      </c>
      <c r="BE73" s="293" t="s">
        <v>469</v>
      </c>
      <c r="BF73" s="293" t="s">
        <v>469</v>
      </c>
      <c r="BG73" s="293" t="s">
        <v>469</v>
      </c>
      <c r="BH73" s="293" t="s">
        <v>469</v>
      </c>
      <c r="BI73" s="294" t="s">
        <v>469</v>
      </c>
      <c r="BK73" s="288" t="s">
        <v>469</v>
      </c>
      <c r="BL73" s="292" t="s">
        <v>469</v>
      </c>
      <c r="BM73" s="293" t="s">
        <v>469</v>
      </c>
      <c r="BN73" s="293" t="s">
        <v>469</v>
      </c>
      <c r="BO73" s="293" t="s">
        <v>469</v>
      </c>
      <c r="BP73" s="293" t="s">
        <v>469</v>
      </c>
      <c r="BQ73" s="294" t="s">
        <v>469</v>
      </c>
      <c r="BS73" s="288" t="s">
        <v>469</v>
      </c>
      <c r="BT73" s="292" t="s">
        <v>469</v>
      </c>
      <c r="BU73" s="293" t="s">
        <v>469</v>
      </c>
      <c r="BV73" s="293" t="s">
        <v>469</v>
      </c>
      <c r="BW73" s="293" t="s">
        <v>469</v>
      </c>
      <c r="BX73" s="293" t="s">
        <v>469</v>
      </c>
      <c r="BY73" s="294" t="s">
        <v>469</v>
      </c>
      <c r="CA73" s="288">
        <v>0</v>
      </c>
      <c r="CB73" s="292" t="s">
        <v>469</v>
      </c>
      <c r="CC73" s="293" t="s">
        <v>469</v>
      </c>
      <c r="CD73" s="293" t="s">
        <v>469</v>
      </c>
      <c r="CE73" s="293" t="e">
        <v>#REF!</v>
      </c>
      <c r="CF73" s="293" t="s">
        <v>469</v>
      </c>
      <c r="CG73" s="294" t="s">
        <v>469</v>
      </c>
      <c r="CI73" s="288" t="s">
        <v>469</v>
      </c>
      <c r="CJ73" s="292" t="s">
        <v>469</v>
      </c>
      <c r="CK73" s="293" t="s">
        <v>469</v>
      </c>
      <c r="CL73" s="293" t="s">
        <v>469</v>
      </c>
      <c r="CM73" s="293" t="s">
        <v>469</v>
      </c>
      <c r="CN73" s="293" t="s">
        <v>469</v>
      </c>
      <c r="CO73" s="294" t="s">
        <v>469</v>
      </c>
      <c r="CQ73" s="295" t="e">
        <v>#REF!</v>
      </c>
    </row>
    <row r="74" spans="2:96" ht="15.75" customHeight="1" thickBot="1">
      <c r="B74" s="365"/>
      <c r="C74" s="366"/>
      <c r="D74" s="366"/>
      <c r="E74" s="367"/>
      <c r="F74" s="366"/>
      <c r="G74" s="374"/>
      <c r="H74" s="369"/>
      <c r="I74" s="370"/>
      <c r="J74" s="367"/>
      <c r="L74" s="315"/>
      <c r="M74" s="315"/>
      <c r="U74" s="210"/>
      <c r="W74" s="248"/>
      <c r="X74" s="271" t="s">
        <v>469</v>
      </c>
      <c r="Y74" s="271" t="s">
        <v>469</v>
      </c>
      <c r="Z74" s="271" t="s">
        <v>469</v>
      </c>
      <c r="AA74" s="271" t="s">
        <v>469</v>
      </c>
      <c r="AB74" s="271" t="s">
        <v>469</v>
      </c>
      <c r="AC74" s="272" t="s">
        <v>469</v>
      </c>
      <c r="AE74" s="288">
        <v>0</v>
      </c>
      <c r="AF74" s="292" t="s">
        <v>469</v>
      </c>
      <c r="AG74" s="293" t="s">
        <v>469</v>
      </c>
      <c r="AH74" s="293" t="s">
        <v>469</v>
      </c>
      <c r="AI74" s="293" t="s">
        <v>469</v>
      </c>
      <c r="AJ74" s="293" t="s">
        <v>469</v>
      </c>
      <c r="AK74" s="294" t="s">
        <v>469</v>
      </c>
      <c r="AM74" s="288">
        <v>272712078.78159326</v>
      </c>
      <c r="AN74" s="292" t="s">
        <v>469</v>
      </c>
      <c r="AO74" s="293" t="s">
        <v>469</v>
      </c>
      <c r="AP74" s="293" t="s">
        <v>469</v>
      </c>
      <c r="AQ74" s="293" t="s">
        <v>469</v>
      </c>
      <c r="AR74" s="293" t="s">
        <v>469</v>
      </c>
      <c r="AS74" s="294" t="s">
        <v>469</v>
      </c>
      <c r="AU74" s="288">
        <v>2012263.099219621</v>
      </c>
      <c r="AV74" s="292" t="s">
        <v>469</v>
      </c>
      <c r="AW74" s="293" t="s">
        <v>469</v>
      </c>
      <c r="AX74" s="293" t="s">
        <v>469</v>
      </c>
      <c r="AY74" s="293" t="s">
        <v>469</v>
      </c>
      <c r="AZ74" s="293" t="s">
        <v>469</v>
      </c>
      <c r="BA74" s="294" t="s">
        <v>469</v>
      </c>
      <c r="BC74" s="288">
        <v>13704570.791527312</v>
      </c>
      <c r="BD74" s="292" t="s">
        <v>469</v>
      </c>
      <c r="BE74" s="293" t="s">
        <v>469</v>
      </c>
      <c r="BF74" s="293" t="s">
        <v>469</v>
      </c>
      <c r="BG74" s="293" t="s">
        <v>469</v>
      </c>
      <c r="BH74" s="293" t="s">
        <v>469</v>
      </c>
      <c r="BI74" s="294" t="s">
        <v>469</v>
      </c>
      <c r="BK74" s="288">
        <v>0</v>
      </c>
      <c r="BL74" s="292" t="s">
        <v>469</v>
      </c>
      <c r="BM74" s="293" t="s">
        <v>469</v>
      </c>
      <c r="BN74" s="293" t="s">
        <v>469</v>
      </c>
      <c r="BO74" s="293" t="s">
        <v>469</v>
      </c>
      <c r="BP74" s="293" t="s">
        <v>469</v>
      </c>
      <c r="BQ74" s="294" t="s">
        <v>469</v>
      </c>
      <c r="BS74" s="288">
        <v>0</v>
      </c>
      <c r="BT74" s="292" t="s">
        <v>469</v>
      </c>
      <c r="BU74" s="293" t="s">
        <v>469</v>
      </c>
      <c r="BV74" s="293" t="s">
        <v>469</v>
      </c>
      <c r="BW74" s="293" t="s">
        <v>469</v>
      </c>
      <c r="BX74" s="293" t="s">
        <v>469</v>
      </c>
      <c r="BY74" s="294" t="s">
        <v>469</v>
      </c>
      <c r="CA74" s="288">
        <v>0</v>
      </c>
      <c r="CB74" s="292" t="s">
        <v>469</v>
      </c>
      <c r="CC74" s="293" t="s">
        <v>469</v>
      </c>
      <c r="CD74" s="293" t="s">
        <v>469</v>
      </c>
      <c r="CE74" s="293" t="s">
        <v>469</v>
      </c>
      <c r="CF74" s="293" t="s">
        <v>469</v>
      </c>
      <c r="CG74" s="294" t="s">
        <v>469</v>
      </c>
      <c r="CI74" s="288" t="e">
        <v>#REF!</v>
      </c>
      <c r="CJ74" s="292" t="s">
        <v>469</v>
      </c>
      <c r="CK74" s="293" t="s">
        <v>469</v>
      </c>
      <c r="CL74" s="293" t="s">
        <v>469</v>
      </c>
      <c r="CM74" s="293" t="s">
        <v>469</v>
      </c>
      <c r="CN74" s="293" t="s">
        <v>469</v>
      </c>
      <c r="CO74" s="294" t="s">
        <v>469</v>
      </c>
      <c r="CQ74" s="295" t="e">
        <v>#REF!</v>
      </c>
      <c r="CR74" s="209" t="e">
        <v>#REF!</v>
      </c>
    </row>
    <row r="75" spans="2:99" ht="15.75" customHeight="1" thickBot="1">
      <c r="B75" s="365"/>
      <c r="C75" s="366"/>
      <c r="D75" s="366"/>
      <c r="E75" s="367"/>
      <c r="F75" s="366"/>
      <c r="G75" s="374"/>
      <c r="H75" s="369"/>
      <c r="I75" s="370"/>
      <c r="J75" s="367"/>
      <c r="L75" s="315"/>
      <c r="M75" s="387" t="e">
        <v>#REF!</v>
      </c>
      <c r="T75" s="207" t="s">
        <v>395</v>
      </c>
      <c r="U75" s="386" t="e">
        <v>#REF!</v>
      </c>
      <c r="W75" s="388" t="e">
        <v>#REF!</v>
      </c>
      <c r="X75" s="389" t="e">
        <v>#REF!</v>
      </c>
      <c r="Y75" s="389" t="e">
        <v>#REF!</v>
      </c>
      <c r="Z75" s="389" t="e">
        <v>#REF!</v>
      </c>
      <c r="AA75" s="389" t="e">
        <v>#REF!</v>
      </c>
      <c r="AB75" s="389" t="e">
        <v>#REF!</v>
      </c>
      <c r="AC75" s="390" t="e">
        <v>#REF!</v>
      </c>
      <c r="AE75" s="391" t="e">
        <v>#REF!</v>
      </c>
      <c r="AF75" s="392">
        <v>0</v>
      </c>
      <c r="AG75" s="393">
        <v>0</v>
      </c>
      <c r="AH75" s="393">
        <v>0</v>
      </c>
      <c r="AI75" s="393" t="e">
        <v>#REF!</v>
      </c>
      <c r="AJ75" s="393">
        <v>0</v>
      </c>
      <c r="AK75" s="394">
        <v>0</v>
      </c>
      <c r="AM75" s="391" t="e">
        <v>#REF!</v>
      </c>
      <c r="AN75" s="392" t="e">
        <v>#REF!</v>
      </c>
      <c r="AO75" s="393">
        <v>0</v>
      </c>
      <c r="AP75" s="393">
        <v>0</v>
      </c>
      <c r="AQ75" s="393" t="e">
        <v>#REF!</v>
      </c>
      <c r="AR75" s="393" t="e">
        <v>#REF!</v>
      </c>
      <c r="AS75" s="394" t="e">
        <v>#REF!</v>
      </c>
      <c r="AU75" s="391" t="e">
        <v>#REF!</v>
      </c>
      <c r="AV75" s="392">
        <v>0</v>
      </c>
      <c r="AW75" s="393" t="e">
        <v>#REF!</v>
      </c>
      <c r="AX75" s="393">
        <v>0</v>
      </c>
      <c r="AY75" s="393">
        <v>0</v>
      </c>
      <c r="AZ75" s="393">
        <v>0</v>
      </c>
      <c r="BA75" s="394">
        <v>0</v>
      </c>
      <c r="BC75" s="391" t="e">
        <v>#REF!</v>
      </c>
      <c r="BD75" s="392" t="e">
        <v>#REF!</v>
      </c>
      <c r="BE75" s="393">
        <v>0</v>
      </c>
      <c r="BF75" s="393">
        <v>0</v>
      </c>
      <c r="BG75" s="393" t="e">
        <v>#REF!</v>
      </c>
      <c r="BH75" s="393" t="e">
        <v>#REF!</v>
      </c>
      <c r="BI75" s="394" t="e">
        <v>#REF!</v>
      </c>
      <c r="BK75" s="391">
        <v>0</v>
      </c>
      <c r="BL75" s="392">
        <v>0</v>
      </c>
      <c r="BM75" s="393">
        <v>0</v>
      </c>
      <c r="BN75" s="393">
        <v>0</v>
      </c>
      <c r="BO75" s="393">
        <v>0</v>
      </c>
      <c r="BP75" s="393">
        <v>0</v>
      </c>
      <c r="BQ75" s="394">
        <v>0</v>
      </c>
      <c r="BS75" s="391">
        <v>0</v>
      </c>
      <c r="BT75" s="392">
        <v>0</v>
      </c>
      <c r="BU75" s="393">
        <v>0</v>
      </c>
      <c r="BV75" s="393">
        <v>0</v>
      </c>
      <c r="BW75" s="393">
        <v>0</v>
      </c>
      <c r="BX75" s="393">
        <v>0</v>
      </c>
      <c r="BY75" s="394">
        <v>0</v>
      </c>
      <c r="CA75" s="391" t="e">
        <v>#REF!</v>
      </c>
      <c r="CB75" s="392">
        <v>0</v>
      </c>
      <c r="CC75" s="393">
        <v>0</v>
      </c>
      <c r="CD75" s="393">
        <v>0</v>
      </c>
      <c r="CE75" s="393" t="e">
        <v>#REF!</v>
      </c>
      <c r="CF75" s="393">
        <v>0</v>
      </c>
      <c r="CG75" s="394">
        <v>0</v>
      </c>
      <c r="CI75" s="391" t="e">
        <v>#REF!</v>
      </c>
      <c r="CJ75" s="392">
        <v>0</v>
      </c>
      <c r="CK75" s="393" t="e">
        <v>#REF!</v>
      </c>
      <c r="CL75" s="393" t="e">
        <v>#REF!</v>
      </c>
      <c r="CM75" s="393">
        <v>0</v>
      </c>
      <c r="CN75" s="393">
        <v>0</v>
      </c>
      <c r="CO75" s="394">
        <v>0</v>
      </c>
      <c r="CQ75" s="277" t="e">
        <v>#REF!</v>
      </c>
      <c r="CT75" s="207" t="e">
        <v>#REF!</v>
      </c>
      <c r="CU75" s="278" t="e">
        <v>#REF!</v>
      </c>
    </row>
    <row r="76" spans="2:37" ht="15.75" customHeight="1">
      <c r="B76" s="365"/>
      <c r="C76" s="366"/>
      <c r="D76" s="366"/>
      <c r="E76" s="367"/>
      <c r="F76" s="367"/>
      <c r="G76" s="395"/>
      <c r="H76" s="369"/>
      <c r="I76" s="370"/>
      <c r="J76" s="367"/>
      <c r="L76" s="315"/>
      <c r="M76" s="315"/>
      <c r="AE76" s="207"/>
      <c r="AF76" s="207"/>
      <c r="AG76" s="207"/>
      <c r="AH76" s="207"/>
      <c r="AI76" s="207"/>
      <c r="AJ76" s="207"/>
      <c r="AK76" s="207"/>
    </row>
    <row r="77" spans="2:37" ht="15.75" customHeight="1">
      <c r="B77" s="365"/>
      <c r="C77" s="366"/>
      <c r="D77" s="366"/>
      <c r="E77" s="367"/>
      <c r="F77" s="366"/>
      <c r="G77" s="368"/>
      <c r="H77" s="369"/>
      <c r="I77" s="370"/>
      <c r="J77" s="367"/>
      <c r="AE77" s="207"/>
      <c r="AF77" s="207"/>
      <c r="AG77" s="207"/>
      <c r="AH77" s="207"/>
      <c r="AI77" s="207"/>
      <c r="AJ77" s="207"/>
      <c r="AK77" s="207"/>
    </row>
    <row r="78" spans="2:37" ht="15.75" customHeight="1">
      <c r="B78" s="365"/>
      <c r="C78" s="366"/>
      <c r="D78" s="366"/>
      <c r="E78" s="367"/>
      <c r="F78" s="366"/>
      <c r="AE78" s="207"/>
      <c r="AF78" s="207"/>
      <c r="AG78" s="207"/>
      <c r="AH78" s="207"/>
      <c r="AI78" s="207"/>
      <c r="AJ78" s="207"/>
      <c r="AK78" s="207"/>
    </row>
    <row r="79" spans="2:6" ht="15.75" customHeight="1">
      <c r="B79" s="365"/>
      <c r="C79" s="366"/>
      <c r="D79" s="366"/>
      <c r="E79" s="367"/>
      <c r="F79" s="366"/>
    </row>
    <row r="80" spans="2:39" s="315" customFormat="1" ht="15.75" customHeight="1">
      <c r="B80" s="220"/>
      <c r="C80" s="207"/>
      <c r="D80" s="207"/>
      <c r="E80" s="207"/>
      <c r="F80" s="207"/>
      <c r="G80" s="207"/>
      <c r="H80" s="207"/>
      <c r="I80" s="207"/>
      <c r="J80" s="207"/>
      <c r="M80" s="207"/>
      <c r="O80" s="207"/>
      <c r="V80" s="396"/>
      <c r="W80" s="397"/>
      <c r="X80" s="398" t="s">
        <v>279</v>
      </c>
      <c r="Y80" s="398" t="s">
        <v>280</v>
      </c>
      <c r="Z80" s="398" t="s">
        <v>281</v>
      </c>
      <c r="AA80" s="398" t="s">
        <v>210</v>
      </c>
      <c r="AB80" s="398" t="s">
        <v>282</v>
      </c>
      <c r="AC80" s="398" t="s">
        <v>283</v>
      </c>
      <c r="AD80" s="207"/>
      <c r="AE80" s="399"/>
      <c r="AF80" s="263"/>
      <c r="AG80" s="263"/>
      <c r="AH80" s="263"/>
      <c r="AI80" s="263"/>
      <c r="AJ80" s="263"/>
      <c r="AK80" s="263"/>
      <c r="AM80" s="399"/>
    </row>
    <row r="81" spans="13:39" s="315" customFormat="1" ht="15.75" customHeight="1">
      <c r="M81" s="207"/>
      <c r="O81" s="207"/>
      <c r="V81" s="400" t="s">
        <v>284</v>
      </c>
      <c r="W81" s="401">
        <v>0</v>
      </c>
      <c r="X81" s="293">
        <v>0</v>
      </c>
      <c r="Y81" s="293">
        <v>0</v>
      </c>
      <c r="Z81" s="293">
        <v>0</v>
      </c>
      <c r="AA81" s="293" t="e">
        <v>#REF!</v>
      </c>
      <c r="AB81" s="293">
        <v>0</v>
      </c>
      <c r="AC81" s="293">
        <v>0</v>
      </c>
      <c r="AD81" s="207"/>
      <c r="AE81" s="399"/>
      <c r="AF81" s="263"/>
      <c r="AG81" s="263"/>
      <c r="AH81" s="263"/>
      <c r="AI81" s="263"/>
      <c r="AJ81" s="263"/>
      <c r="AK81" s="263"/>
      <c r="AM81" s="399"/>
    </row>
    <row r="82" spans="2:29" ht="11.25">
      <c r="B82" s="315"/>
      <c r="C82" s="315"/>
      <c r="D82" s="315"/>
      <c r="E82" s="315"/>
      <c r="F82" s="315"/>
      <c r="G82" s="315"/>
      <c r="H82" s="315"/>
      <c r="I82" s="315"/>
      <c r="J82" s="315"/>
      <c r="V82" s="396" t="s">
        <v>285</v>
      </c>
      <c r="W82" s="401">
        <v>272712078.78159326</v>
      </c>
      <c r="X82" s="293" t="e">
        <v>#REF!</v>
      </c>
      <c r="Y82" s="293">
        <v>0</v>
      </c>
      <c r="Z82" s="293">
        <v>0</v>
      </c>
      <c r="AA82" s="293" t="e">
        <v>#REF!</v>
      </c>
      <c r="AB82" s="293" t="e">
        <v>#REF!</v>
      </c>
      <c r="AC82" s="293" t="e">
        <v>#REF!</v>
      </c>
    </row>
    <row r="83" spans="22:29" ht="11.25">
      <c r="V83" s="402" t="s">
        <v>286</v>
      </c>
      <c r="W83" s="401">
        <v>2012263.099219621</v>
      </c>
      <c r="X83" s="293">
        <v>0</v>
      </c>
      <c r="Y83" s="293" t="e">
        <v>#REF!</v>
      </c>
      <c r="Z83" s="293">
        <v>0</v>
      </c>
      <c r="AA83" s="293">
        <v>0</v>
      </c>
      <c r="AB83" s="293">
        <v>0</v>
      </c>
      <c r="AC83" s="293">
        <v>0</v>
      </c>
    </row>
    <row r="84" spans="22:29" ht="11.25">
      <c r="V84" s="402" t="s">
        <v>287</v>
      </c>
      <c r="W84" s="401">
        <v>13704570.791527312</v>
      </c>
      <c r="X84" s="293" t="e">
        <v>#REF!</v>
      </c>
      <c r="Y84" s="293">
        <v>0</v>
      </c>
      <c r="Z84" s="293">
        <v>0</v>
      </c>
      <c r="AA84" s="293" t="e">
        <v>#REF!</v>
      </c>
      <c r="AB84" s="293" t="e">
        <v>#REF!</v>
      </c>
      <c r="AC84" s="293" t="e">
        <v>#REF!</v>
      </c>
    </row>
    <row r="85" spans="22:29" ht="11.25">
      <c r="V85" s="402" t="s">
        <v>288</v>
      </c>
      <c r="W85" s="401">
        <v>0</v>
      </c>
      <c r="X85" s="293">
        <v>0</v>
      </c>
      <c r="Y85" s="293">
        <v>0</v>
      </c>
      <c r="Z85" s="293">
        <v>0</v>
      </c>
      <c r="AA85" s="293">
        <v>0</v>
      </c>
      <c r="AB85" s="293">
        <v>0</v>
      </c>
      <c r="AC85" s="293">
        <v>0</v>
      </c>
    </row>
    <row r="86" spans="22:29" ht="11.25">
      <c r="V86" s="402" t="s">
        <v>289</v>
      </c>
      <c r="W86" s="401">
        <v>0</v>
      </c>
      <c r="X86" s="293">
        <v>0</v>
      </c>
      <c r="Y86" s="293">
        <v>0</v>
      </c>
      <c r="Z86" s="293">
        <v>0</v>
      </c>
      <c r="AA86" s="293">
        <v>0</v>
      </c>
      <c r="AB86" s="293">
        <v>0</v>
      </c>
      <c r="AC86" s="293">
        <v>0</v>
      </c>
    </row>
    <row r="87" spans="22:30" ht="11.25">
      <c r="V87" s="403" t="s">
        <v>290</v>
      </c>
      <c r="W87" s="401">
        <v>0</v>
      </c>
      <c r="X87" s="404">
        <v>0</v>
      </c>
      <c r="Y87" s="404">
        <v>0</v>
      </c>
      <c r="Z87" s="404">
        <v>0</v>
      </c>
      <c r="AA87" s="404" t="e">
        <v>#REF!</v>
      </c>
      <c r="AB87" s="404">
        <v>0</v>
      </c>
      <c r="AC87" s="404">
        <v>0</v>
      </c>
      <c r="AD87" s="315"/>
    </row>
    <row r="88" spans="22:30" ht="11.25">
      <c r="V88" s="403" t="s">
        <v>291</v>
      </c>
      <c r="W88" s="401" t="e">
        <v>#REF!</v>
      </c>
      <c r="X88" s="404">
        <v>0</v>
      </c>
      <c r="Y88" s="404" t="e">
        <v>#REF!</v>
      </c>
      <c r="Z88" s="404" t="e">
        <v>#REF!</v>
      </c>
      <c r="AA88" s="404">
        <v>0</v>
      </c>
      <c r="AB88" s="404">
        <v>0</v>
      </c>
      <c r="AC88" s="404">
        <v>0</v>
      </c>
      <c r="AD88" s="315"/>
    </row>
    <row r="89" spans="23:30" ht="11.25">
      <c r="W89" s="399" t="e">
        <v>#REF!</v>
      </c>
      <c r="X89" s="209" t="e">
        <v>#REF!</v>
      </c>
      <c r="Y89" s="209" t="e">
        <v>#REF!</v>
      </c>
      <c r="Z89" s="209" t="e">
        <v>#REF!</v>
      </c>
      <c r="AA89" s="209" t="e">
        <v>#REF!</v>
      </c>
      <c r="AB89" s="209" t="e">
        <v>#REF!</v>
      </c>
      <c r="AC89" s="209" t="e">
        <v>#REF!</v>
      </c>
      <c r="AD89" s="405" t="e">
        <v>#REF!</v>
      </c>
    </row>
    <row r="90" spans="23:30" ht="11.25">
      <c r="W90" s="210" t="e">
        <v>#REF!</v>
      </c>
      <c r="X90" s="263" t="e">
        <v>#REF!</v>
      </c>
      <c r="Y90" s="263" t="e">
        <v>#REF!</v>
      </c>
      <c r="Z90" s="263" t="e">
        <v>#REF!</v>
      </c>
      <c r="AA90" s="263" t="e">
        <v>#REF!</v>
      </c>
      <c r="AB90" s="263" t="e">
        <v>#REF!</v>
      </c>
      <c r="AC90" s="263" t="e">
        <v>#REF!</v>
      </c>
      <c r="AD90" s="405" t="e">
        <v>#REF!</v>
      </c>
    </row>
    <row r="91" ht="11.25">
      <c r="W91" s="207" t="s">
        <v>396</v>
      </c>
    </row>
    <row r="93" ht="11.25">
      <c r="W93" s="210" t="e">
        <v>#REF!</v>
      </c>
    </row>
    <row r="111" spans="2:39" s="340" customFormat="1" ht="11.25">
      <c r="B111" s="220"/>
      <c r="C111" s="207"/>
      <c r="D111" s="207"/>
      <c r="E111" s="207"/>
      <c r="F111" s="207"/>
      <c r="G111" s="207"/>
      <c r="H111" s="207"/>
      <c r="I111" s="207"/>
      <c r="J111" s="207"/>
      <c r="M111" s="207"/>
      <c r="O111" s="207"/>
      <c r="V111" s="406"/>
      <c r="X111" s="407"/>
      <c r="Y111" s="407"/>
      <c r="Z111" s="407"/>
      <c r="AA111" s="407"/>
      <c r="AB111" s="407"/>
      <c r="AC111" s="407"/>
      <c r="AE111" s="408"/>
      <c r="AF111" s="407"/>
      <c r="AG111" s="407"/>
      <c r="AH111" s="407"/>
      <c r="AI111" s="407"/>
      <c r="AJ111" s="407"/>
      <c r="AK111" s="407"/>
      <c r="AM111" s="408"/>
    </row>
    <row r="112" spans="2:39" s="343" customFormat="1" ht="11.25">
      <c r="B112" s="340"/>
      <c r="C112" s="340"/>
      <c r="D112" s="340"/>
      <c r="E112" s="340"/>
      <c r="F112" s="340"/>
      <c r="G112" s="340"/>
      <c r="H112" s="340"/>
      <c r="I112" s="340"/>
      <c r="J112" s="340"/>
      <c r="M112" s="207"/>
      <c r="O112" s="207"/>
      <c r="V112" s="409"/>
      <c r="X112" s="410"/>
      <c r="Y112" s="410"/>
      <c r="Z112" s="410"/>
      <c r="AA112" s="410"/>
      <c r="AB112" s="410"/>
      <c r="AC112" s="410"/>
      <c r="AE112" s="411"/>
      <c r="AF112" s="410"/>
      <c r="AG112" s="410"/>
      <c r="AH112" s="410"/>
      <c r="AI112" s="410"/>
      <c r="AJ112" s="410"/>
      <c r="AK112" s="410"/>
      <c r="AM112" s="411"/>
    </row>
    <row r="113" spans="13:39" s="343" customFormat="1" ht="11.25">
      <c r="M113" s="207"/>
      <c r="O113" s="207"/>
      <c r="V113" s="409"/>
      <c r="X113" s="410"/>
      <c r="Y113" s="410"/>
      <c r="Z113" s="410"/>
      <c r="AA113" s="410"/>
      <c r="AB113" s="410"/>
      <c r="AC113" s="410"/>
      <c r="AE113" s="411"/>
      <c r="AF113" s="410"/>
      <c r="AG113" s="410"/>
      <c r="AH113" s="410"/>
      <c r="AI113" s="410"/>
      <c r="AJ113" s="410"/>
      <c r="AK113" s="410"/>
      <c r="AM113" s="411"/>
    </row>
    <row r="114" spans="2:10" ht="11.25">
      <c r="B114" s="343"/>
      <c r="C114" s="343"/>
      <c r="D114" s="343"/>
      <c r="E114" s="343"/>
      <c r="F114" s="343"/>
      <c r="G114" s="343"/>
      <c r="H114" s="343"/>
      <c r="I114" s="343"/>
      <c r="J114" s="343"/>
    </row>
    <row r="115" spans="2:39" s="343" customFormat="1" ht="11.25">
      <c r="B115" s="220"/>
      <c r="C115" s="207"/>
      <c r="D115" s="207"/>
      <c r="E115" s="207"/>
      <c r="F115" s="207"/>
      <c r="G115" s="207"/>
      <c r="H115" s="207"/>
      <c r="I115" s="207"/>
      <c r="J115" s="207"/>
      <c r="M115" s="207"/>
      <c r="O115" s="207"/>
      <c r="V115" s="409"/>
      <c r="X115" s="410"/>
      <c r="Y115" s="410"/>
      <c r="Z115" s="410"/>
      <c r="AA115" s="410"/>
      <c r="AB115" s="410"/>
      <c r="AC115" s="410"/>
      <c r="AE115" s="411"/>
      <c r="AF115" s="410"/>
      <c r="AG115" s="410"/>
      <c r="AH115" s="410"/>
      <c r="AI115" s="410"/>
      <c r="AJ115" s="410"/>
      <c r="AK115" s="410"/>
      <c r="AM115" s="411"/>
    </row>
    <row r="116" spans="2:10" ht="11.25">
      <c r="B116" s="343"/>
      <c r="C116" s="343"/>
      <c r="D116" s="343"/>
      <c r="E116" s="343"/>
      <c r="F116" s="343"/>
      <c r="G116" s="343"/>
      <c r="H116" s="343"/>
      <c r="I116" s="343"/>
      <c r="J116" s="343"/>
    </row>
    <row r="127" spans="2:39" s="354" customFormat="1" ht="11.25">
      <c r="B127" s="220"/>
      <c r="C127" s="207"/>
      <c r="D127" s="207"/>
      <c r="E127" s="207"/>
      <c r="F127" s="207"/>
      <c r="G127" s="207"/>
      <c r="H127" s="207"/>
      <c r="I127" s="207"/>
      <c r="J127" s="207"/>
      <c r="M127" s="207"/>
      <c r="O127" s="207"/>
      <c r="V127" s="412"/>
      <c r="X127" s="413"/>
      <c r="Y127" s="413"/>
      <c r="Z127" s="413"/>
      <c r="AA127" s="413"/>
      <c r="AB127" s="413"/>
      <c r="AC127" s="413"/>
      <c r="AE127" s="414"/>
      <c r="AF127" s="413"/>
      <c r="AG127" s="413"/>
      <c r="AH127" s="413"/>
      <c r="AI127" s="413"/>
      <c r="AJ127" s="413"/>
      <c r="AK127" s="413"/>
      <c r="AM127" s="414"/>
    </row>
    <row r="128" spans="2:10" ht="11.25">
      <c r="B128" s="354"/>
      <c r="C128" s="354"/>
      <c r="D128" s="354"/>
      <c r="E128" s="354"/>
      <c r="F128" s="354"/>
      <c r="G128" s="354"/>
      <c r="H128" s="354"/>
      <c r="I128" s="354"/>
      <c r="J128" s="354"/>
    </row>
    <row r="145" ht="16.5" customHeight="1"/>
  </sheetData>
  <sheetProtection/>
  <mergeCells count="9">
    <mergeCell ref="BS7:BY7"/>
    <mergeCell ref="CA7:CG7"/>
    <mergeCell ref="CI7:CO7"/>
    <mergeCell ref="P5:S5"/>
    <mergeCell ref="AE7:AK7"/>
    <mergeCell ref="AM7:AS7"/>
    <mergeCell ref="AU7:BA7"/>
    <mergeCell ref="BC7:BI7"/>
    <mergeCell ref="BK7:BQ7"/>
  </mergeCells>
  <printOptions horizontalCentered="1"/>
  <pageMargins left="0.2362204724409449" right="0.2755905511811024" top="0.2362204724409449" bottom="0.31496062992125984" header="0.2362204724409449" footer="0.1968503937007874"/>
  <pageSetup horizontalDpi="300" verticalDpi="300" orientation="landscape" paperSize="9" scale="50" r:id="rId2"/>
  <drawing r:id="rId1"/>
</worksheet>
</file>

<file path=xl/worksheets/sheet15.xml><?xml version="1.0" encoding="utf-8"?>
<worksheet xmlns="http://schemas.openxmlformats.org/spreadsheetml/2006/main" xmlns:r="http://schemas.openxmlformats.org/officeDocument/2006/relationships">
  <sheetPr codeName="Feuil7"/>
  <dimension ref="B1:CV128"/>
  <sheetViews>
    <sheetView showGridLines="0" zoomScalePageLayoutView="0" workbookViewId="0" topLeftCell="A1">
      <selection activeCell="A1" sqref="A1"/>
    </sheetView>
  </sheetViews>
  <sheetFormatPr defaultColWidth="8.57421875" defaultRowHeight="12.75"/>
  <cols>
    <col min="1" max="1" width="6.8515625" style="207" customWidth="1"/>
    <col min="2" max="2" width="8.28125" style="220" customWidth="1"/>
    <col min="3" max="3" width="34.140625" style="207" customWidth="1"/>
    <col min="4" max="4" width="11.00390625" style="207" customWidth="1"/>
    <col min="5" max="5" width="14.140625" style="207" customWidth="1"/>
    <col min="6" max="6" width="14.8515625" style="207" bestFit="1" customWidth="1"/>
    <col min="7" max="7" width="17.421875" style="207" customWidth="1"/>
    <col min="8" max="8" width="17.00390625" style="207" customWidth="1"/>
    <col min="9" max="9" width="14.57421875" style="207" hidden="1" customWidth="1"/>
    <col min="10" max="10" width="15.28125" style="207" customWidth="1"/>
    <col min="11" max="11" width="13.8515625" style="207" customWidth="1"/>
    <col min="12" max="12" width="19.140625" style="207" customWidth="1"/>
    <col min="13" max="13" width="13.8515625" style="207" hidden="1" customWidth="1"/>
    <col min="14" max="14" width="5.28125" style="207" hidden="1" customWidth="1"/>
    <col min="15" max="15" width="9.28125" style="207" hidden="1" customWidth="1"/>
    <col min="16" max="16" width="45.7109375" style="207" hidden="1" customWidth="1"/>
    <col min="17" max="17" width="8.57421875" style="207" hidden="1" customWidth="1"/>
    <col min="18" max="18" width="7.8515625" style="207" hidden="1" customWidth="1"/>
    <col min="19" max="19" width="15.00390625" style="207" hidden="1" customWidth="1"/>
    <col min="20" max="20" width="13.57421875" style="207" hidden="1" customWidth="1"/>
    <col min="21" max="21" width="14.28125" style="207" hidden="1" customWidth="1"/>
    <col min="22" max="22" width="12.00390625" style="208" hidden="1" customWidth="1"/>
    <col min="23" max="23" width="12.00390625" style="207" hidden="1" customWidth="1"/>
    <col min="24" max="26" width="8.7109375" style="209" hidden="1" customWidth="1"/>
    <col min="27" max="29" width="7.7109375" style="209" hidden="1" customWidth="1"/>
    <col min="30" max="30" width="12.00390625" style="207" hidden="1" customWidth="1"/>
    <col min="31" max="31" width="12.00390625" style="210" hidden="1" customWidth="1"/>
    <col min="32" max="37" width="7.7109375" style="209" hidden="1" customWidth="1"/>
    <col min="38" max="38" width="3.8515625" style="207" hidden="1" customWidth="1"/>
    <col min="39" max="39" width="11.00390625" style="210" hidden="1" customWidth="1"/>
    <col min="40" max="40" width="7.7109375" style="207" hidden="1" customWidth="1"/>
    <col min="41" max="45" width="0" style="207" hidden="1" customWidth="1"/>
    <col min="46" max="46" width="3.8515625" style="207" hidden="1" customWidth="1"/>
    <col min="47" max="47" width="11.00390625" style="207" hidden="1" customWidth="1"/>
    <col min="48" max="53" width="0" style="207" hidden="1" customWidth="1"/>
    <col min="54" max="54" width="3.8515625" style="207" hidden="1" customWidth="1"/>
    <col min="55" max="55" width="11.00390625" style="207" hidden="1" customWidth="1"/>
    <col min="56" max="61" width="0" style="207" hidden="1" customWidth="1"/>
    <col min="62" max="62" width="3.8515625" style="207" hidden="1" customWidth="1"/>
    <col min="63" max="63" width="11.00390625" style="207" hidden="1" customWidth="1"/>
    <col min="64" max="69" width="0" style="207" hidden="1" customWidth="1"/>
    <col min="70" max="70" width="3.8515625" style="207" hidden="1" customWidth="1"/>
    <col min="71" max="71" width="11.00390625" style="207" hidden="1" customWidth="1"/>
    <col min="72" max="77" width="0" style="207" hidden="1" customWidth="1"/>
    <col min="78" max="78" width="3.8515625" style="207" hidden="1" customWidth="1"/>
    <col min="79" max="79" width="11.00390625" style="207" hidden="1" customWidth="1"/>
    <col min="80" max="85" width="0" style="207" hidden="1" customWidth="1"/>
    <col min="86" max="86" width="3.8515625" style="207" hidden="1" customWidth="1"/>
    <col min="87" max="87" width="12.00390625" style="207" hidden="1" customWidth="1"/>
    <col min="88" max="88" width="0" style="207" hidden="1" customWidth="1"/>
    <col min="89" max="90" width="7.7109375" style="207" hidden="1" customWidth="1"/>
    <col min="91" max="93" width="0" style="207" hidden="1" customWidth="1"/>
    <col min="94" max="94" width="3.8515625" style="207" hidden="1" customWidth="1"/>
    <col min="95" max="95" width="12.8515625" style="207" hidden="1" customWidth="1"/>
    <col min="96" max="96" width="7.421875" style="207" hidden="1" customWidth="1"/>
    <col min="97" max="97" width="8.57421875" style="207" hidden="1" customWidth="1"/>
    <col min="98" max="98" width="5.28125" style="207" hidden="1" customWidth="1"/>
    <col min="99" max="99" width="13.57421875" style="207" hidden="1" customWidth="1"/>
    <col min="100" max="16384" width="8.57421875" style="207" customWidth="1"/>
  </cols>
  <sheetData>
    <row r="1" spans="2:9" ht="15">
      <c r="B1" s="446" t="s">
        <v>250</v>
      </c>
      <c r="C1" s="205"/>
      <c r="D1" s="444"/>
      <c r="E1" s="444"/>
      <c r="F1" s="445"/>
      <c r="G1" s="206"/>
      <c r="H1" s="205"/>
      <c r="I1" s="205"/>
    </row>
    <row r="2" spans="2:9" ht="17.25" customHeight="1">
      <c r="B2" s="211"/>
      <c r="C2" s="205"/>
      <c r="D2" s="211"/>
      <c r="E2" s="212"/>
      <c r="F2" s="212"/>
      <c r="G2" s="206"/>
      <c r="H2" s="205"/>
      <c r="I2" s="205"/>
    </row>
    <row r="3" spans="2:22" ht="17.25" customHeight="1" thickBot="1">
      <c r="B3" s="205"/>
      <c r="C3" s="211"/>
      <c r="D3" s="211"/>
      <c r="E3" s="213"/>
      <c r="F3" s="212"/>
      <c r="G3" s="206"/>
      <c r="H3" s="205"/>
      <c r="I3" s="205"/>
      <c r="V3" s="214" t="e">
        <v>#REF!</v>
      </c>
    </row>
    <row r="4" spans="2:23" ht="12" thickBot="1">
      <c r="B4" s="211" t="s">
        <v>258</v>
      </c>
      <c r="C4" s="205"/>
      <c r="D4" s="440"/>
      <c r="E4" s="441"/>
      <c r="F4" s="441"/>
      <c r="G4" s="206"/>
      <c r="H4" s="205"/>
      <c r="I4" s="205"/>
      <c r="S4" s="215" t="e">
        <v>#REF!</v>
      </c>
      <c r="T4" s="216"/>
      <c r="U4" s="216" t="e">
        <v>#REF!</v>
      </c>
      <c r="V4" s="217" t="e">
        <v>#REF!</v>
      </c>
      <c r="W4" s="218" t="e">
        <v>#REF!</v>
      </c>
    </row>
    <row r="5" spans="2:23" ht="11.25">
      <c r="B5" s="219">
        <v>2011</v>
      </c>
      <c r="C5" s="219"/>
      <c r="D5" s="442"/>
      <c r="E5" s="442"/>
      <c r="F5" s="442"/>
      <c r="G5" s="219"/>
      <c r="H5" s="219"/>
      <c r="I5" s="219"/>
      <c r="O5" s="220"/>
      <c r="P5" s="596" t="s">
        <v>259</v>
      </c>
      <c r="Q5" s="597"/>
      <c r="R5" s="597"/>
      <c r="S5" s="597"/>
      <c r="T5" s="221"/>
      <c r="U5" s="221"/>
      <c r="W5" s="207" t="s">
        <v>260</v>
      </c>
    </row>
    <row r="6" spans="3:87" ht="18" customHeight="1" thickBot="1">
      <c r="C6" s="222"/>
      <c r="D6" s="222"/>
      <c r="E6" s="223"/>
      <c r="F6" s="223"/>
      <c r="G6" s="224"/>
      <c r="H6" s="225"/>
      <c r="O6" s="226" t="s">
        <v>261</v>
      </c>
      <c r="P6" s="227" t="s">
        <v>262</v>
      </c>
      <c r="Q6" s="228"/>
      <c r="R6" s="229"/>
      <c r="S6" s="230" t="s">
        <v>156</v>
      </c>
      <c r="T6" s="230" t="s">
        <v>263</v>
      </c>
      <c r="U6" s="231" t="s">
        <v>156</v>
      </c>
      <c r="AE6" s="210">
        <v>0</v>
      </c>
      <c r="AM6" s="210">
        <v>310897989.2165586</v>
      </c>
      <c r="AU6" s="210">
        <v>2012263.099219621</v>
      </c>
      <c r="BC6" s="210">
        <v>13704570.791527312</v>
      </c>
      <c r="BK6" s="210">
        <v>0</v>
      </c>
      <c r="BS6" s="210">
        <v>0</v>
      </c>
      <c r="CA6" s="210">
        <v>0</v>
      </c>
      <c r="CI6" s="210" t="e">
        <v>#REF!</v>
      </c>
    </row>
    <row r="7" spans="3:93" ht="17.25" customHeight="1" thickBot="1">
      <c r="C7" s="211"/>
      <c r="D7" s="211"/>
      <c r="E7" s="212"/>
      <c r="F7" s="212"/>
      <c r="G7" s="206"/>
      <c r="H7" s="205"/>
      <c r="I7" s="205"/>
      <c r="J7" s="210"/>
      <c r="K7" s="210"/>
      <c r="L7" s="210"/>
      <c r="M7" s="210"/>
      <c r="O7" s="232"/>
      <c r="P7" s="233"/>
      <c r="Q7" s="234"/>
      <c r="R7" s="234"/>
      <c r="S7" s="235" t="s">
        <v>264</v>
      </c>
      <c r="T7" s="236" t="s">
        <v>265</v>
      </c>
      <c r="U7" s="237" t="s">
        <v>266</v>
      </c>
      <c r="W7" s="238" t="e">
        <v>#REF!</v>
      </c>
      <c r="X7" s="239" t="e">
        <v>#REF!</v>
      </c>
      <c r="Y7" s="239" t="e">
        <v>#REF!</v>
      </c>
      <c r="Z7" s="239" t="e">
        <v>#REF!</v>
      </c>
      <c r="AA7" s="239" t="e">
        <v>#REF!</v>
      </c>
      <c r="AB7" s="239" t="e">
        <v>#REF!</v>
      </c>
      <c r="AC7" s="240" t="e">
        <v>#REF!</v>
      </c>
      <c r="AE7" s="593" t="s">
        <v>267</v>
      </c>
      <c r="AF7" s="594"/>
      <c r="AG7" s="594"/>
      <c r="AH7" s="594"/>
      <c r="AI7" s="594"/>
      <c r="AJ7" s="594"/>
      <c r="AK7" s="595"/>
      <c r="AM7" s="593" t="s">
        <v>268</v>
      </c>
      <c r="AN7" s="594"/>
      <c r="AO7" s="594"/>
      <c r="AP7" s="594"/>
      <c r="AQ7" s="594"/>
      <c r="AR7" s="594"/>
      <c r="AS7" s="595"/>
      <c r="AU7" s="593" t="s">
        <v>269</v>
      </c>
      <c r="AV7" s="594"/>
      <c r="AW7" s="594"/>
      <c r="AX7" s="594"/>
      <c r="AY7" s="594"/>
      <c r="AZ7" s="594"/>
      <c r="BA7" s="595"/>
      <c r="BC7" s="593" t="s">
        <v>270</v>
      </c>
      <c r="BD7" s="594"/>
      <c r="BE7" s="594"/>
      <c r="BF7" s="594"/>
      <c r="BG7" s="594"/>
      <c r="BH7" s="594"/>
      <c r="BI7" s="595"/>
      <c r="BK7" s="593" t="s">
        <v>271</v>
      </c>
      <c r="BL7" s="594"/>
      <c r="BM7" s="594"/>
      <c r="BN7" s="594"/>
      <c r="BO7" s="594"/>
      <c r="BP7" s="594"/>
      <c r="BQ7" s="595"/>
      <c r="BS7" s="593" t="s">
        <v>272</v>
      </c>
      <c r="BT7" s="594"/>
      <c r="BU7" s="594"/>
      <c r="BV7" s="594"/>
      <c r="BW7" s="594"/>
      <c r="BX7" s="594"/>
      <c r="BY7" s="595"/>
      <c r="CA7" s="593" t="s">
        <v>273</v>
      </c>
      <c r="CB7" s="594"/>
      <c r="CC7" s="594"/>
      <c r="CD7" s="594"/>
      <c r="CE7" s="594"/>
      <c r="CF7" s="594"/>
      <c r="CG7" s="595"/>
      <c r="CI7" s="593" t="s">
        <v>274</v>
      </c>
      <c r="CJ7" s="594"/>
      <c r="CK7" s="594"/>
      <c r="CL7" s="594"/>
      <c r="CM7" s="594"/>
      <c r="CN7" s="594"/>
      <c r="CO7" s="595"/>
    </row>
    <row r="8" spans="2:93" ht="12" thickBot="1">
      <c r="B8" s="241" t="s">
        <v>275</v>
      </c>
      <c r="G8" s="242"/>
      <c r="H8" s="242"/>
      <c r="O8" s="243"/>
      <c r="P8" s="244"/>
      <c r="Q8" s="244"/>
      <c r="R8" s="245" t="s">
        <v>276</v>
      </c>
      <c r="S8" s="243"/>
      <c r="T8" s="246"/>
      <c r="U8" s="247"/>
      <c r="V8" s="208" t="s">
        <v>277</v>
      </c>
      <c r="W8" s="248" t="s">
        <v>278</v>
      </c>
      <c r="X8" s="249" t="s">
        <v>279</v>
      </c>
      <c r="Y8" s="249" t="s">
        <v>280</v>
      </c>
      <c r="Z8" s="249" t="s">
        <v>281</v>
      </c>
      <c r="AA8" s="249" t="s">
        <v>210</v>
      </c>
      <c r="AB8" s="249" t="s">
        <v>282</v>
      </c>
      <c r="AC8" s="250" t="s">
        <v>283</v>
      </c>
      <c r="AE8" s="251" t="s">
        <v>284</v>
      </c>
      <c r="AF8" s="252" t="s">
        <v>279</v>
      </c>
      <c r="AG8" s="253" t="s">
        <v>280</v>
      </c>
      <c r="AH8" s="253" t="s">
        <v>281</v>
      </c>
      <c r="AI8" s="253" t="s">
        <v>210</v>
      </c>
      <c r="AJ8" s="253" t="s">
        <v>282</v>
      </c>
      <c r="AK8" s="254" t="s">
        <v>283</v>
      </c>
      <c r="AM8" s="251" t="s">
        <v>285</v>
      </c>
      <c r="AN8" s="255" t="s">
        <v>279</v>
      </c>
      <c r="AO8" s="256" t="s">
        <v>280</v>
      </c>
      <c r="AP8" s="256" t="s">
        <v>281</v>
      </c>
      <c r="AQ8" s="256" t="s">
        <v>210</v>
      </c>
      <c r="AR8" s="256" t="s">
        <v>282</v>
      </c>
      <c r="AS8" s="257" t="s">
        <v>283</v>
      </c>
      <c r="AU8" s="251" t="s">
        <v>286</v>
      </c>
      <c r="AV8" s="255" t="s">
        <v>279</v>
      </c>
      <c r="AW8" s="256" t="s">
        <v>280</v>
      </c>
      <c r="AX8" s="256" t="s">
        <v>281</v>
      </c>
      <c r="AY8" s="256" t="s">
        <v>210</v>
      </c>
      <c r="AZ8" s="256" t="s">
        <v>282</v>
      </c>
      <c r="BA8" s="257" t="s">
        <v>283</v>
      </c>
      <c r="BC8" s="251" t="s">
        <v>287</v>
      </c>
      <c r="BD8" s="255" t="s">
        <v>279</v>
      </c>
      <c r="BE8" s="256" t="s">
        <v>280</v>
      </c>
      <c r="BF8" s="256" t="s">
        <v>281</v>
      </c>
      <c r="BG8" s="256" t="s">
        <v>210</v>
      </c>
      <c r="BH8" s="256" t="s">
        <v>282</v>
      </c>
      <c r="BI8" s="257" t="s">
        <v>283</v>
      </c>
      <c r="BK8" s="251" t="s">
        <v>288</v>
      </c>
      <c r="BL8" s="255" t="s">
        <v>279</v>
      </c>
      <c r="BM8" s="256" t="s">
        <v>280</v>
      </c>
      <c r="BN8" s="256" t="s">
        <v>281</v>
      </c>
      <c r="BO8" s="256" t="s">
        <v>210</v>
      </c>
      <c r="BP8" s="256" t="s">
        <v>282</v>
      </c>
      <c r="BQ8" s="257" t="s">
        <v>283</v>
      </c>
      <c r="BS8" s="251" t="s">
        <v>289</v>
      </c>
      <c r="BT8" s="255" t="s">
        <v>279</v>
      </c>
      <c r="BU8" s="256" t="s">
        <v>280</v>
      </c>
      <c r="BV8" s="256" t="s">
        <v>281</v>
      </c>
      <c r="BW8" s="256" t="s">
        <v>210</v>
      </c>
      <c r="BX8" s="256" t="s">
        <v>282</v>
      </c>
      <c r="BY8" s="257" t="s">
        <v>283</v>
      </c>
      <c r="CA8" s="251" t="s">
        <v>290</v>
      </c>
      <c r="CB8" s="255" t="s">
        <v>279</v>
      </c>
      <c r="CC8" s="256" t="s">
        <v>280</v>
      </c>
      <c r="CD8" s="256" t="s">
        <v>281</v>
      </c>
      <c r="CE8" s="256" t="s">
        <v>210</v>
      </c>
      <c r="CF8" s="256" t="s">
        <v>282</v>
      </c>
      <c r="CG8" s="257" t="s">
        <v>283</v>
      </c>
      <c r="CI8" s="251" t="s">
        <v>291</v>
      </c>
      <c r="CJ8" s="255" t="s">
        <v>279</v>
      </c>
      <c r="CK8" s="256" t="s">
        <v>280</v>
      </c>
      <c r="CL8" s="256" t="s">
        <v>281</v>
      </c>
      <c r="CM8" s="256" t="s">
        <v>210</v>
      </c>
      <c r="CN8" s="256" t="s">
        <v>282</v>
      </c>
      <c r="CO8" s="257" t="s">
        <v>283</v>
      </c>
    </row>
    <row r="9" spans="4:99" ht="12" thickBot="1">
      <c r="D9" s="258" t="s">
        <v>292</v>
      </c>
      <c r="E9" s="259"/>
      <c r="F9" s="260"/>
      <c r="G9" s="261">
        <v>20</v>
      </c>
      <c r="H9" s="262" t="s">
        <v>293</v>
      </c>
      <c r="M9" s="263" t="e">
        <v>#REF!</v>
      </c>
      <c r="N9" s="207" t="s">
        <v>468</v>
      </c>
      <c r="O9" s="264" t="s">
        <v>294</v>
      </c>
      <c r="P9" s="265" t="s">
        <v>295</v>
      </c>
      <c r="Q9" s="266"/>
      <c r="R9" s="267"/>
      <c r="S9" s="268">
        <v>1136400</v>
      </c>
      <c r="T9" s="268"/>
      <c r="U9" s="269">
        <v>1266889.6321070234</v>
      </c>
      <c r="W9" s="270"/>
      <c r="X9" s="271"/>
      <c r="Y9" s="271"/>
      <c r="Z9" s="271"/>
      <c r="AA9" s="271"/>
      <c r="AB9" s="271"/>
      <c r="AC9" s="272"/>
      <c r="AD9" s="210"/>
      <c r="AE9" s="273">
        <v>0</v>
      </c>
      <c r="AF9" s="274">
        <v>0</v>
      </c>
      <c r="AG9" s="275">
        <v>0</v>
      </c>
      <c r="AH9" s="275">
        <v>0</v>
      </c>
      <c r="AI9" s="275" t="e">
        <v>#REF!</v>
      </c>
      <c r="AJ9" s="275">
        <v>0</v>
      </c>
      <c r="AK9" s="276">
        <v>0</v>
      </c>
      <c r="AM9" s="273">
        <v>310897989.2165586</v>
      </c>
      <c r="AN9" s="274" t="e">
        <v>#REF!</v>
      </c>
      <c r="AO9" s="275">
        <v>0</v>
      </c>
      <c r="AP9" s="275">
        <v>0</v>
      </c>
      <c r="AQ9" s="275" t="e">
        <v>#REF!</v>
      </c>
      <c r="AR9" s="275" t="e">
        <v>#REF!</v>
      </c>
      <c r="AS9" s="276" t="e">
        <v>#REF!</v>
      </c>
      <c r="AU9" s="273">
        <v>2012263.099219621</v>
      </c>
      <c r="AV9" s="274">
        <v>0</v>
      </c>
      <c r="AW9" s="275" t="e">
        <v>#REF!</v>
      </c>
      <c r="AX9" s="275">
        <v>0</v>
      </c>
      <c r="AY9" s="275">
        <v>0</v>
      </c>
      <c r="AZ9" s="275">
        <v>0</v>
      </c>
      <c r="BA9" s="276">
        <v>0</v>
      </c>
      <c r="BC9" s="273">
        <v>13704570.791527312</v>
      </c>
      <c r="BD9" s="274" t="e">
        <v>#REF!</v>
      </c>
      <c r="BE9" s="275">
        <v>0</v>
      </c>
      <c r="BF9" s="275">
        <v>0</v>
      </c>
      <c r="BG9" s="275" t="e">
        <v>#REF!</v>
      </c>
      <c r="BH9" s="275" t="e">
        <v>#REF!</v>
      </c>
      <c r="BI9" s="276" t="e">
        <v>#REF!</v>
      </c>
      <c r="BK9" s="273">
        <v>0</v>
      </c>
      <c r="BL9" s="274">
        <v>0</v>
      </c>
      <c r="BM9" s="275">
        <v>0</v>
      </c>
      <c r="BN9" s="275">
        <v>0</v>
      </c>
      <c r="BO9" s="275">
        <v>0</v>
      </c>
      <c r="BP9" s="275">
        <v>0</v>
      </c>
      <c r="BQ9" s="276">
        <v>0</v>
      </c>
      <c r="BS9" s="273">
        <v>0</v>
      </c>
      <c r="BT9" s="274">
        <v>0</v>
      </c>
      <c r="BU9" s="275">
        <v>0</v>
      </c>
      <c r="BV9" s="275">
        <v>0</v>
      </c>
      <c r="BW9" s="275">
        <v>0</v>
      </c>
      <c r="BX9" s="275">
        <v>0</v>
      </c>
      <c r="BY9" s="276">
        <v>0</v>
      </c>
      <c r="CA9" s="273">
        <v>0</v>
      </c>
      <c r="CB9" s="274">
        <v>0</v>
      </c>
      <c r="CC9" s="275">
        <v>0</v>
      </c>
      <c r="CD9" s="275">
        <v>0</v>
      </c>
      <c r="CE9" s="275" t="e">
        <v>#REF!</v>
      </c>
      <c r="CF9" s="275">
        <v>0</v>
      </c>
      <c r="CG9" s="276">
        <v>0</v>
      </c>
      <c r="CI9" s="273" t="e">
        <v>#REF!</v>
      </c>
      <c r="CJ9" s="274">
        <v>0</v>
      </c>
      <c r="CK9" s="275" t="e">
        <v>#REF!</v>
      </c>
      <c r="CL9" s="275" t="e">
        <v>#REF!</v>
      </c>
      <c r="CM9" s="275">
        <v>0</v>
      </c>
      <c r="CN9" s="275">
        <v>0</v>
      </c>
      <c r="CO9" s="276">
        <v>0</v>
      </c>
      <c r="CQ9" s="277"/>
      <c r="CR9" s="209" t="s">
        <v>469</v>
      </c>
      <c r="CT9" s="207" t="s">
        <v>468</v>
      </c>
      <c r="CU9" s="278">
        <v>1136400</v>
      </c>
    </row>
    <row r="10" spans="3:96" ht="11.25">
      <c r="C10" s="241"/>
      <c r="D10" s="279" t="s">
        <v>296</v>
      </c>
      <c r="E10" s="280"/>
      <c r="F10" s="281"/>
      <c r="G10" s="282" t="s">
        <v>297</v>
      </c>
      <c r="H10" s="283"/>
      <c r="M10" s="209" t="e">
        <v>#REF!</v>
      </c>
      <c r="O10" s="284" t="s">
        <v>251</v>
      </c>
      <c r="P10" s="280" t="s">
        <v>298</v>
      </c>
      <c r="Q10" s="244"/>
      <c r="R10" s="245"/>
      <c r="S10" s="285">
        <v>416400</v>
      </c>
      <c r="T10" s="286">
        <v>1.1148272017837235</v>
      </c>
      <c r="U10" s="287">
        <v>464214.0468227425</v>
      </c>
      <c r="V10" s="208" t="s">
        <v>285</v>
      </c>
      <c r="W10" s="248" t="s">
        <v>283</v>
      </c>
      <c r="X10" s="271" t="s">
        <v>469</v>
      </c>
      <c r="Y10" s="271" t="s">
        <v>469</v>
      </c>
      <c r="Z10" s="271" t="s">
        <v>469</v>
      </c>
      <c r="AA10" s="271" t="s">
        <v>469</v>
      </c>
      <c r="AB10" s="271" t="s">
        <v>469</v>
      </c>
      <c r="AC10" s="272" t="e">
        <v>#REF!</v>
      </c>
      <c r="AD10" s="210"/>
      <c r="AE10" s="288" t="s">
        <v>469</v>
      </c>
      <c r="AF10" s="289" t="s">
        <v>469</v>
      </c>
      <c r="AG10" s="290" t="s">
        <v>469</v>
      </c>
      <c r="AH10" s="290" t="s">
        <v>469</v>
      </c>
      <c r="AI10" s="290" t="s">
        <v>469</v>
      </c>
      <c r="AJ10" s="290" t="s">
        <v>469</v>
      </c>
      <c r="AK10" s="291" t="s">
        <v>469</v>
      </c>
      <c r="AM10" s="288">
        <v>464214.0468227425</v>
      </c>
      <c r="AN10" s="292" t="s">
        <v>469</v>
      </c>
      <c r="AO10" s="293" t="s">
        <v>469</v>
      </c>
      <c r="AP10" s="293" t="s">
        <v>469</v>
      </c>
      <c r="AQ10" s="293" t="s">
        <v>469</v>
      </c>
      <c r="AR10" s="293" t="s">
        <v>469</v>
      </c>
      <c r="AS10" s="294" t="e">
        <v>#REF!</v>
      </c>
      <c r="AU10" s="288" t="s">
        <v>469</v>
      </c>
      <c r="AV10" s="292" t="s">
        <v>469</v>
      </c>
      <c r="AW10" s="293" t="s">
        <v>469</v>
      </c>
      <c r="AX10" s="293" t="s">
        <v>469</v>
      </c>
      <c r="AY10" s="293" t="s">
        <v>469</v>
      </c>
      <c r="AZ10" s="293" t="s">
        <v>469</v>
      </c>
      <c r="BA10" s="294" t="s">
        <v>469</v>
      </c>
      <c r="BC10" s="288" t="s">
        <v>469</v>
      </c>
      <c r="BD10" s="292" t="s">
        <v>469</v>
      </c>
      <c r="BE10" s="293" t="s">
        <v>469</v>
      </c>
      <c r="BF10" s="293" t="s">
        <v>469</v>
      </c>
      <c r="BG10" s="293" t="s">
        <v>469</v>
      </c>
      <c r="BH10" s="293" t="s">
        <v>469</v>
      </c>
      <c r="BI10" s="294" t="s">
        <v>469</v>
      </c>
      <c r="BK10" s="288" t="s">
        <v>469</v>
      </c>
      <c r="BL10" s="292" t="s">
        <v>469</v>
      </c>
      <c r="BM10" s="293" t="s">
        <v>469</v>
      </c>
      <c r="BN10" s="293" t="s">
        <v>469</v>
      </c>
      <c r="BO10" s="293" t="s">
        <v>469</v>
      </c>
      <c r="BP10" s="293" t="s">
        <v>469</v>
      </c>
      <c r="BQ10" s="294" t="s">
        <v>469</v>
      </c>
      <c r="BS10" s="288" t="s">
        <v>469</v>
      </c>
      <c r="BT10" s="292" t="s">
        <v>469</v>
      </c>
      <c r="BU10" s="293" t="s">
        <v>469</v>
      </c>
      <c r="BV10" s="293" t="s">
        <v>469</v>
      </c>
      <c r="BW10" s="293" t="s">
        <v>469</v>
      </c>
      <c r="BX10" s="293" t="s">
        <v>469</v>
      </c>
      <c r="BY10" s="294" t="s">
        <v>469</v>
      </c>
      <c r="CA10" s="288" t="s">
        <v>469</v>
      </c>
      <c r="CB10" s="292" t="s">
        <v>469</v>
      </c>
      <c r="CC10" s="293" t="s">
        <v>469</v>
      </c>
      <c r="CD10" s="293" t="s">
        <v>469</v>
      </c>
      <c r="CE10" s="293" t="s">
        <v>469</v>
      </c>
      <c r="CF10" s="293" t="s">
        <v>469</v>
      </c>
      <c r="CG10" s="294" t="s">
        <v>469</v>
      </c>
      <c r="CI10" s="288" t="s">
        <v>469</v>
      </c>
      <c r="CJ10" s="292" t="s">
        <v>469</v>
      </c>
      <c r="CK10" s="293" t="s">
        <v>469</v>
      </c>
      <c r="CL10" s="293" t="s">
        <v>469</v>
      </c>
      <c r="CM10" s="293" t="s">
        <v>469</v>
      </c>
      <c r="CN10" s="293" t="s">
        <v>469</v>
      </c>
      <c r="CO10" s="294" t="s">
        <v>469</v>
      </c>
      <c r="CQ10" s="295" t="e">
        <v>#REF!</v>
      </c>
      <c r="CR10" s="209" t="e">
        <v>#REF!</v>
      </c>
    </row>
    <row r="11" spans="3:96" ht="11.25">
      <c r="C11" s="241"/>
      <c r="D11" s="279" t="s">
        <v>299</v>
      </c>
      <c r="E11" s="280"/>
      <c r="F11" s="281"/>
      <c r="G11" s="282" t="s">
        <v>300</v>
      </c>
      <c r="H11" s="283"/>
      <c r="M11" s="209" t="e">
        <v>#REF!</v>
      </c>
      <c r="O11" s="284" t="s">
        <v>213</v>
      </c>
      <c r="P11" s="280" t="s">
        <v>301</v>
      </c>
      <c r="Q11" s="244"/>
      <c r="R11" s="245"/>
      <c r="S11" s="285">
        <v>720000</v>
      </c>
      <c r="T11" s="286">
        <v>1.1148272017837235</v>
      </c>
      <c r="U11" s="287">
        <v>802675.5852842809</v>
      </c>
      <c r="V11" s="208" t="s">
        <v>285</v>
      </c>
      <c r="W11" s="248" t="s">
        <v>210</v>
      </c>
      <c r="X11" s="271" t="s">
        <v>469</v>
      </c>
      <c r="Y11" s="271" t="s">
        <v>469</v>
      </c>
      <c r="Z11" s="271" t="s">
        <v>469</v>
      </c>
      <c r="AA11" s="271" t="e">
        <v>#REF!</v>
      </c>
      <c r="AB11" s="271" t="s">
        <v>469</v>
      </c>
      <c r="AC11" s="272" t="s">
        <v>469</v>
      </c>
      <c r="AD11" s="210"/>
      <c r="AE11" s="288" t="s">
        <v>469</v>
      </c>
      <c r="AF11" s="292" t="s">
        <v>469</v>
      </c>
      <c r="AG11" s="293" t="s">
        <v>469</v>
      </c>
      <c r="AH11" s="293" t="s">
        <v>469</v>
      </c>
      <c r="AI11" s="293" t="s">
        <v>469</v>
      </c>
      <c r="AJ11" s="293" t="s">
        <v>469</v>
      </c>
      <c r="AK11" s="294" t="s">
        <v>469</v>
      </c>
      <c r="AM11" s="288">
        <v>802675.5852842809</v>
      </c>
      <c r="AN11" s="292" t="s">
        <v>469</v>
      </c>
      <c r="AO11" s="293" t="s">
        <v>469</v>
      </c>
      <c r="AP11" s="293" t="s">
        <v>469</v>
      </c>
      <c r="AQ11" s="293" t="e">
        <v>#REF!</v>
      </c>
      <c r="AR11" s="293" t="s">
        <v>469</v>
      </c>
      <c r="AS11" s="294" t="s">
        <v>469</v>
      </c>
      <c r="AU11" s="288" t="s">
        <v>469</v>
      </c>
      <c r="AV11" s="292" t="s">
        <v>469</v>
      </c>
      <c r="AW11" s="293" t="s">
        <v>469</v>
      </c>
      <c r="AX11" s="293" t="s">
        <v>469</v>
      </c>
      <c r="AY11" s="293" t="s">
        <v>469</v>
      </c>
      <c r="AZ11" s="293" t="s">
        <v>469</v>
      </c>
      <c r="BA11" s="294" t="s">
        <v>469</v>
      </c>
      <c r="BC11" s="288" t="s">
        <v>469</v>
      </c>
      <c r="BD11" s="292" t="s">
        <v>469</v>
      </c>
      <c r="BE11" s="293" t="s">
        <v>469</v>
      </c>
      <c r="BF11" s="293" t="s">
        <v>469</v>
      </c>
      <c r="BG11" s="293" t="s">
        <v>469</v>
      </c>
      <c r="BH11" s="293" t="s">
        <v>469</v>
      </c>
      <c r="BI11" s="294" t="s">
        <v>469</v>
      </c>
      <c r="BK11" s="288" t="s">
        <v>469</v>
      </c>
      <c r="BL11" s="292" t="s">
        <v>469</v>
      </c>
      <c r="BM11" s="293" t="s">
        <v>469</v>
      </c>
      <c r="BN11" s="293" t="s">
        <v>469</v>
      </c>
      <c r="BO11" s="293" t="s">
        <v>469</v>
      </c>
      <c r="BP11" s="293" t="s">
        <v>469</v>
      </c>
      <c r="BQ11" s="294" t="s">
        <v>469</v>
      </c>
      <c r="BS11" s="288" t="s">
        <v>469</v>
      </c>
      <c r="BT11" s="292" t="s">
        <v>469</v>
      </c>
      <c r="BU11" s="293" t="s">
        <v>469</v>
      </c>
      <c r="BV11" s="293" t="s">
        <v>469</v>
      </c>
      <c r="BW11" s="293" t="s">
        <v>469</v>
      </c>
      <c r="BX11" s="293" t="s">
        <v>469</v>
      </c>
      <c r="BY11" s="294" t="s">
        <v>469</v>
      </c>
      <c r="CA11" s="288" t="s">
        <v>469</v>
      </c>
      <c r="CB11" s="292" t="s">
        <v>469</v>
      </c>
      <c r="CC11" s="293" t="s">
        <v>469</v>
      </c>
      <c r="CD11" s="293" t="s">
        <v>469</v>
      </c>
      <c r="CE11" s="293" t="s">
        <v>469</v>
      </c>
      <c r="CF11" s="293" t="s">
        <v>469</v>
      </c>
      <c r="CG11" s="294" t="s">
        <v>469</v>
      </c>
      <c r="CI11" s="288" t="s">
        <v>469</v>
      </c>
      <c r="CJ11" s="292" t="s">
        <v>469</v>
      </c>
      <c r="CK11" s="293" t="s">
        <v>469</v>
      </c>
      <c r="CL11" s="293" t="s">
        <v>469</v>
      </c>
      <c r="CM11" s="293" t="s">
        <v>469</v>
      </c>
      <c r="CN11" s="293" t="s">
        <v>469</v>
      </c>
      <c r="CO11" s="294" t="s">
        <v>469</v>
      </c>
      <c r="CQ11" s="295" t="e">
        <v>#REF!</v>
      </c>
      <c r="CR11" s="209" t="e">
        <v>#REF!</v>
      </c>
    </row>
    <row r="12" spans="3:96" ht="11.25">
      <c r="C12" s="241"/>
      <c r="D12" s="279" t="s">
        <v>302</v>
      </c>
      <c r="E12" s="280"/>
      <c r="F12" s="281"/>
      <c r="G12" s="282">
        <v>2014</v>
      </c>
      <c r="H12" s="283"/>
      <c r="M12" s="209" t="e">
        <v>#REF!</v>
      </c>
      <c r="O12" s="284" t="s">
        <v>252</v>
      </c>
      <c r="P12" s="280" t="s">
        <v>303</v>
      </c>
      <c r="Q12" s="244"/>
      <c r="R12" s="245"/>
      <c r="S12" s="285">
        <v>0</v>
      </c>
      <c r="T12" s="286">
        <v>1.1148272017837235</v>
      </c>
      <c r="U12" s="287">
        <v>0</v>
      </c>
      <c r="V12" s="208" t="s">
        <v>285</v>
      </c>
      <c r="W12" s="248" t="s">
        <v>279</v>
      </c>
      <c r="X12" s="271" t="e">
        <v>#REF!</v>
      </c>
      <c r="Y12" s="271" t="s">
        <v>469</v>
      </c>
      <c r="Z12" s="271" t="s">
        <v>469</v>
      </c>
      <c r="AA12" s="271" t="s">
        <v>469</v>
      </c>
      <c r="AB12" s="271" t="s">
        <v>469</v>
      </c>
      <c r="AC12" s="272" t="s">
        <v>469</v>
      </c>
      <c r="AD12" s="210"/>
      <c r="AE12" s="288" t="s">
        <v>469</v>
      </c>
      <c r="AF12" s="292" t="s">
        <v>469</v>
      </c>
      <c r="AG12" s="293" t="s">
        <v>469</v>
      </c>
      <c r="AH12" s="293" t="s">
        <v>469</v>
      </c>
      <c r="AI12" s="293" t="s">
        <v>469</v>
      </c>
      <c r="AJ12" s="293" t="s">
        <v>469</v>
      </c>
      <c r="AK12" s="294" t="s">
        <v>469</v>
      </c>
      <c r="AM12" s="288">
        <v>0</v>
      </c>
      <c r="AN12" s="292" t="e">
        <v>#REF!</v>
      </c>
      <c r="AO12" s="293" t="s">
        <v>469</v>
      </c>
      <c r="AP12" s="293" t="s">
        <v>469</v>
      </c>
      <c r="AQ12" s="293" t="s">
        <v>469</v>
      </c>
      <c r="AR12" s="293" t="s">
        <v>469</v>
      </c>
      <c r="AS12" s="294" t="s">
        <v>469</v>
      </c>
      <c r="AU12" s="288" t="s">
        <v>469</v>
      </c>
      <c r="AV12" s="292" t="s">
        <v>469</v>
      </c>
      <c r="AW12" s="293" t="s">
        <v>469</v>
      </c>
      <c r="AX12" s="293" t="s">
        <v>469</v>
      </c>
      <c r="AY12" s="293" t="s">
        <v>469</v>
      </c>
      <c r="AZ12" s="293" t="s">
        <v>469</v>
      </c>
      <c r="BA12" s="294" t="s">
        <v>469</v>
      </c>
      <c r="BC12" s="288" t="s">
        <v>469</v>
      </c>
      <c r="BD12" s="292" t="s">
        <v>469</v>
      </c>
      <c r="BE12" s="293" t="s">
        <v>469</v>
      </c>
      <c r="BF12" s="293" t="s">
        <v>469</v>
      </c>
      <c r="BG12" s="293" t="s">
        <v>469</v>
      </c>
      <c r="BH12" s="293" t="s">
        <v>469</v>
      </c>
      <c r="BI12" s="294" t="s">
        <v>469</v>
      </c>
      <c r="BK12" s="288" t="s">
        <v>469</v>
      </c>
      <c r="BL12" s="292" t="s">
        <v>469</v>
      </c>
      <c r="BM12" s="293" t="s">
        <v>469</v>
      </c>
      <c r="BN12" s="293" t="s">
        <v>469</v>
      </c>
      <c r="BO12" s="293" t="s">
        <v>469</v>
      </c>
      <c r="BP12" s="293" t="s">
        <v>469</v>
      </c>
      <c r="BQ12" s="294" t="s">
        <v>469</v>
      </c>
      <c r="BS12" s="288" t="s">
        <v>469</v>
      </c>
      <c r="BT12" s="292" t="s">
        <v>469</v>
      </c>
      <c r="BU12" s="293" t="s">
        <v>469</v>
      </c>
      <c r="BV12" s="293" t="s">
        <v>469</v>
      </c>
      <c r="BW12" s="293" t="s">
        <v>469</v>
      </c>
      <c r="BX12" s="293" t="s">
        <v>469</v>
      </c>
      <c r="BY12" s="294" t="s">
        <v>469</v>
      </c>
      <c r="CA12" s="288" t="s">
        <v>469</v>
      </c>
      <c r="CB12" s="292" t="s">
        <v>469</v>
      </c>
      <c r="CC12" s="293" t="s">
        <v>469</v>
      </c>
      <c r="CD12" s="293" t="s">
        <v>469</v>
      </c>
      <c r="CE12" s="293" t="s">
        <v>469</v>
      </c>
      <c r="CF12" s="293" t="s">
        <v>469</v>
      </c>
      <c r="CG12" s="294" t="s">
        <v>469</v>
      </c>
      <c r="CI12" s="288" t="s">
        <v>469</v>
      </c>
      <c r="CJ12" s="292" t="s">
        <v>469</v>
      </c>
      <c r="CK12" s="293" t="s">
        <v>469</v>
      </c>
      <c r="CL12" s="293" t="s">
        <v>469</v>
      </c>
      <c r="CM12" s="293" t="s">
        <v>469</v>
      </c>
      <c r="CN12" s="293" t="s">
        <v>469</v>
      </c>
      <c r="CO12" s="294" t="s">
        <v>469</v>
      </c>
      <c r="CQ12" s="295" t="e">
        <v>#REF!</v>
      </c>
      <c r="CR12" s="209" t="e">
        <v>#REF!</v>
      </c>
    </row>
    <row r="13" spans="3:96" ht="11.25">
      <c r="C13" s="241"/>
      <c r="D13" s="279" t="s">
        <v>304</v>
      </c>
      <c r="E13" s="280"/>
      <c r="F13" s="281"/>
      <c r="G13" s="282" t="s">
        <v>305</v>
      </c>
      <c r="H13" s="283"/>
      <c r="M13" s="209" t="e">
        <v>#REF!</v>
      </c>
      <c r="O13" s="284" t="s">
        <v>214</v>
      </c>
      <c r="P13" s="241" t="s">
        <v>306</v>
      </c>
      <c r="Q13" s="244"/>
      <c r="R13" s="245"/>
      <c r="S13" s="285">
        <v>0</v>
      </c>
      <c r="T13" s="286">
        <v>1.1148272017837235</v>
      </c>
      <c r="U13" s="287">
        <v>0</v>
      </c>
      <c r="V13" s="208" t="s">
        <v>285</v>
      </c>
      <c r="W13" s="248" t="s">
        <v>279</v>
      </c>
      <c r="X13" s="271" t="e">
        <v>#REF!</v>
      </c>
      <c r="Y13" s="271" t="s">
        <v>469</v>
      </c>
      <c r="Z13" s="271" t="s">
        <v>469</v>
      </c>
      <c r="AA13" s="271" t="s">
        <v>469</v>
      </c>
      <c r="AB13" s="271" t="s">
        <v>469</v>
      </c>
      <c r="AC13" s="272" t="s">
        <v>469</v>
      </c>
      <c r="AE13" s="288" t="s">
        <v>469</v>
      </c>
      <c r="AF13" s="292" t="s">
        <v>469</v>
      </c>
      <c r="AG13" s="293" t="s">
        <v>469</v>
      </c>
      <c r="AH13" s="293" t="s">
        <v>469</v>
      </c>
      <c r="AI13" s="293" t="s">
        <v>469</v>
      </c>
      <c r="AJ13" s="293" t="s">
        <v>469</v>
      </c>
      <c r="AK13" s="294" t="s">
        <v>469</v>
      </c>
      <c r="AM13" s="288">
        <v>0</v>
      </c>
      <c r="AN13" s="292" t="e">
        <v>#REF!</v>
      </c>
      <c r="AO13" s="293" t="s">
        <v>469</v>
      </c>
      <c r="AP13" s="293" t="s">
        <v>469</v>
      </c>
      <c r="AQ13" s="293" t="s">
        <v>469</v>
      </c>
      <c r="AR13" s="293" t="s">
        <v>469</v>
      </c>
      <c r="AS13" s="294" t="s">
        <v>469</v>
      </c>
      <c r="AU13" s="288" t="s">
        <v>469</v>
      </c>
      <c r="AV13" s="292" t="s">
        <v>469</v>
      </c>
      <c r="AW13" s="293" t="s">
        <v>469</v>
      </c>
      <c r="AX13" s="293" t="s">
        <v>469</v>
      </c>
      <c r="AY13" s="293" t="s">
        <v>469</v>
      </c>
      <c r="AZ13" s="293" t="s">
        <v>469</v>
      </c>
      <c r="BA13" s="294" t="s">
        <v>469</v>
      </c>
      <c r="BC13" s="288" t="s">
        <v>469</v>
      </c>
      <c r="BD13" s="292" t="s">
        <v>469</v>
      </c>
      <c r="BE13" s="293" t="s">
        <v>469</v>
      </c>
      <c r="BF13" s="293" t="s">
        <v>469</v>
      </c>
      <c r="BG13" s="293" t="s">
        <v>469</v>
      </c>
      <c r="BH13" s="293" t="s">
        <v>469</v>
      </c>
      <c r="BI13" s="294" t="s">
        <v>469</v>
      </c>
      <c r="BK13" s="288" t="s">
        <v>469</v>
      </c>
      <c r="BL13" s="292" t="s">
        <v>469</v>
      </c>
      <c r="BM13" s="293" t="s">
        <v>469</v>
      </c>
      <c r="BN13" s="293" t="s">
        <v>469</v>
      </c>
      <c r="BO13" s="293" t="s">
        <v>469</v>
      </c>
      <c r="BP13" s="293" t="s">
        <v>469</v>
      </c>
      <c r="BQ13" s="294" t="s">
        <v>469</v>
      </c>
      <c r="BS13" s="288" t="s">
        <v>469</v>
      </c>
      <c r="BT13" s="292" t="s">
        <v>469</v>
      </c>
      <c r="BU13" s="293" t="s">
        <v>469</v>
      </c>
      <c r="BV13" s="293" t="s">
        <v>469</v>
      </c>
      <c r="BW13" s="293" t="s">
        <v>469</v>
      </c>
      <c r="BX13" s="293" t="s">
        <v>469</v>
      </c>
      <c r="BY13" s="294" t="s">
        <v>469</v>
      </c>
      <c r="CA13" s="288" t="s">
        <v>469</v>
      </c>
      <c r="CB13" s="292" t="s">
        <v>469</v>
      </c>
      <c r="CC13" s="293" t="s">
        <v>469</v>
      </c>
      <c r="CD13" s="293" t="s">
        <v>469</v>
      </c>
      <c r="CE13" s="293" t="s">
        <v>469</v>
      </c>
      <c r="CF13" s="293" t="s">
        <v>469</v>
      </c>
      <c r="CG13" s="294" t="s">
        <v>469</v>
      </c>
      <c r="CI13" s="288" t="s">
        <v>469</v>
      </c>
      <c r="CJ13" s="292" t="s">
        <v>469</v>
      </c>
      <c r="CK13" s="293" t="s">
        <v>469</v>
      </c>
      <c r="CL13" s="293" t="s">
        <v>469</v>
      </c>
      <c r="CM13" s="293" t="s">
        <v>469</v>
      </c>
      <c r="CN13" s="293" t="s">
        <v>469</v>
      </c>
      <c r="CO13" s="294" t="s">
        <v>469</v>
      </c>
      <c r="CQ13" s="295" t="e">
        <v>#REF!</v>
      </c>
      <c r="CR13" s="209" t="e">
        <v>#REF!</v>
      </c>
    </row>
    <row r="14" spans="3:96" ht="11.25">
      <c r="C14" s="241"/>
      <c r="D14" s="279" t="s">
        <v>307</v>
      </c>
      <c r="E14" s="280"/>
      <c r="F14" s="281"/>
      <c r="G14" s="296">
        <v>0</v>
      </c>
      <c r="H14" s="283" t="s">
        <v>308</v>
      </c>
      <c r="M14" s="209"/>
      <c r="O14" s="284" t="s">
        <v>253</v>
      </c>
      <c r="P14" s="241"/>
      <c r="Q14" s="244"/>
      <c r="R14" s="245"/>
      <c r="S14" s="243"/>
      <c r="T14" s="286">
        <v>1.1148272017837235</v>
      </c>
      <c r="U14" s="287">
        <v>0</v>
      </c>
      <c r="W14" s="248"/>
      <c r="X14" s="271" t="s">
        <v>469</v>
      </c>
      <c r="Y14" s="271" t="s">
        <v>469</v>
      </c>
      <c r="Z14" s="271" t="s">
        <v>469</v>
      </c>
      <c r="AA14" s="271" t="s">
        <v>469</v>
      </c>
      <c r="AB14" s="271" t="s">
        <v>469</v>
      </c>
      <c r="AC14" s="272" t="s">
        <v>469</v>
      </c>
      <c r="AE14" s="288" t="s">
        <v>469</v>
      </c>
      <c r="AF14" s="292" t="s">
        <v>469</v>
      </c>
      <c r="AG14" s="293" t="s">
        <v>469</v>
      </c>
      <c r="AH14" s="293" t="s">
        <v>469</v>
      </c>
      <c r="AI14" s="293" t="s">
        <v>469</v>
      </c>
      <c r="AJ14" s="293" t="s">
        <v>469</v>
      </c>
      <c r="AK14" s="294" t="s">
        <v>469</v>
      </c>
      <c r="AM14" s="288" t="s">
        <v>469</v>
      </c>
      <c r="AN14" s="292" t="s">
        <v>469</v>
      </c>
      <c r="AO14" s="293" t="s">
        <v>469</v>
      </c>
      <c r="AP14" s="293" t="s">
        <v>469</v>
      </c>
      <c r="AQ14" s="293" t="s">
        <v>469</v>
      </c>
      <c r="AR14" s="293" t="s">
        <v>469</v>
      </c>
      <c r="AS14" s="294" t="s">
        <v>469</v>
      </c>
      <c r="AU14" s="288" t="s">
        <v>469</v>
      </c>
      <c r="AV14" s="292" t="s">
        <v>469</v>
      </c>
      <c r="AW14" s="293" t="s">
        <v>469</v>
      </c>
      <c r="AX14" s="293" t="s">
        <v>469</v>
      </c>
      <c r="AY14" s="293" t="s">
        <v>469</v>
      </c>
      <c r="AZ14" s="293" t="s">
        <v>469</v>
      </c>
      <c r="BA14" s="294" t="s">
        <v>469</v>
      </c>
      <c r="BC14" s="288" t="s">
        <v>469</v>
      </c>
      <c r="BD14" s="292" t="s">
        <v>469</v>
      </c>
      <c r="BE14" s="293" t="s">
        <v>469</v>
      </c>
      <c r="BF14" s="293" t="s">
        <v>469</v>
      </c>
      <c r="BG14" s="293" t="s">
        <v>469</v>
      </c>
      <c r="BH14" s="293" t="s">
        <v>469</v>
      </c>
      <c r="BI14" s="294" t="s">
        <v>469</v>
      </c>
      <c r="BK14" s="288" t="s">
        <v>469</v>
      </c>
      <c r="BL14" s="292" t="s">
        <v>469</v>
      </c>
      <c r="BM14" s="293" t="s">
        <v>469</v>
      </c>
      <c r="BN14" s="293" t="s">
        <v>469</v>
      </c>
      <c r="BO14" s="293" t="s">
        <v>469</v>
      </c>
      <c r="BP14" s="293" t="s">
        <v>469</v>
      </c>
      <c r="BQ14" s="294" t="s">
        <v>469</v>
      </c>
      <c r="BS14" s="288" t="s">
        <v>469</v>
      </c>
      <c r="BT14" s="292" t="s">
        <v>469</v>
      </c>
      <c r="BU14" s="293" t="s">
        <v>469</v>
      </c>
      <c r="BV14" s="293" t="s">
        <v>469</v>
      </c>
      <c r="BW14" s="293" t="s">
        <v>469</v>
      </c>
      <c r="BX14" s="293" t="s">
        <v>469</v>
      </c>
      <c r="BY14" s="294" t="s">
        <v>469</v>
      </c>
      <c r="CA14" s="288" t="s">
        <v>469</v>
      </c>
      <c r="CB14" s="292" t="s">
        <v>469</v>
      </c>
      <c r="CC14" s="293" t="s">
        <v>469</v>
      </c>
      <c r="CD14" s="293" t="s">
        <v>469</v>
      </c>
      <c r="CE14" s="293" t="s">
        <v>469</v>
      </c>
      <c r="CF14" s="293" t="s">
        <v>469</v>
      </c>
      <c r="CG14" s="294" t="s">
        <v>469</v>
      </c>
      <c r="CI14" s="288" t="s">
        <v>469</v>
      </c>
      <c r="CJ14" s="292" t="s">
        <v>469</v>
      </c>
      <c r="CK14" s="293" t="s">
        <v>469</v>
      </c>
      <c r="CL14" s="293" t="s">
        <v>469</v>
      </c>
      <c r="CM14" s="293" t="s">
        <v>469</v>
      </c>
      <c r="CN14" s="293" t="s">
        <v>469</v>
      </c>
      <c r="CO14" s="294" t="s">
        <v>469</v>
      </c>
      <c r="CQ14" s="295"/>
      <c r="CR14" s="209" t="s">
        <v>469</v>
      </c>
    </row>
    <row r="15" spans="3:96" ht="11.25">
      <c r="C15" s="241"/>
      <c r="D15" s="279" t="s">
        <v>309</v>
      </c>
      <c r="E15" s="280"/>
      <c r="F15" s="281"/>
      <c r="G15" s="296">
        <v>161</v>
      </c>
      <c r="H15" s="283"/>
      <c r="M15" s="209"/>
      <c r="O15" s="284" t="s">
        <v>310</v>
      </c>
      <c r="P15" s="280"/>
      <c r="Q15" s="244"/>
      <c r="R15" s="245"/>
      <c r="S15" s="243"/>
      <c r="T15" s="286">
        <v>1.1148272017837235</v>
      </c>
      <c r="U15" s="287">
        <v>0</v>
      </c>
      <c r="W15" s="248"/>
      <c r="X15" s="271" t="s">
        <v>469</v>
      </c>
      <c r="Y15" s="271" t="s">
        <v>469</v>
      </c>
      <c r="Z15" s="271" t="s">
        <v>469</v>
      </c>
      <c r="AA15" s="271" t="s">
        <v>469</v>
      </c>
      <c r="AB15" s="271" t="s">
        <v>469</v>
      </c>
      <c r="AC15" s="272" t="s">
        <v>469</v>
      </c>
      <c r="AE15" s="288" t="s">
        <v>469</v>
      </c>
      <c r="AF15" s="292" t="s">
        <v>469</v>
      </c>
      <c r="AG15" s="293" t="s">
        <v>469</v>
      </c>
      <c r="AH15" s="293" t="s">
        <v>469</v>
      </c>
      <c r="AI15" s="293" t="s">
        <v>469</v>
      </c>
      <c r="AJ15" s="293" t="s">
        <v>469</v>
      </c>
      <c r="AK15" s="294" t="s">
        <v>469</v>
      </c>
      <c r="AM15" s="288" t="s">
        <v>469</v>
      </c>
      <c r="AN15" s="292" t="s">
        <v>469</v>
      </c>
      <c r="AO15" s="293" t="s">
        <v>469</v>
      </c>
      <c r="AP15" s="293" t="s">
        <v>469</v>
      </c>
      <c r="AQ15" s="293" t="s">
        <v>469</v>
      </c>
      <c r="AR15" s="293" t="s">
        <v>469</v>
      </c>
      <c r="AS15" s="294" t="s">
        <v>469</v>
      </c>
      <c r="AU15" s="288" t="s">
        <v>469</v>
      </c>
      <c r="AV15" s="292" t="s">
        <v>469</v>
      </c>
      <c r="AW15" s="293" t="s">
        <v>469</v>
      </c>
      <c r="AX15" s="293" t="s">
        <v>469</v>
      </c>
      <c r="AY15" s="293" t="s">
        <v>469</v>
      </c>
      <c r="AZ15" s="293" t="s">
        <v>469</v>
      </c>
      <c r="BA15" s="294" t="s">
        <v>469</v>
      </c>
      <c r="BC15" s="288" t="s">
        <v>469</v>
      </c>
      <c r="BD15" s="292" t="s">
        <v>469</v>
      </c>
      <c r="BE15" s="293" t="s">
        <v>469</v>
      </c>
      <c r="BF15" s="293" t="s">
        <v>469</v>
      </c>
      <c r="BG15" s="293" t="s">
        <v>469</v>
      </c>
      <c r="BH15" s="293" t="s">
        <v>469</v>
      </c>
      <c r="BI15" s="294" t="s">
        <v>469</v>
      </c>
      <c r="BK15" s="288" t="s">
        <v>469</v>
      </c>
      <c r="BL15" s="292" t="s">
        <v>469</v>
      </c>
      <c r="BM15" s="293" t="s">
        <v>469</v>
      </c>
      <c r="BN15" s="293" t="s">
        <v>469</v>
      </c>
      <c r="BO15" s="293" t="s">
        <v>469</v>
      </c>
      <c r="BP15" s="293" t="s">
        <v>469</v>
      </c>
      <c r="BQ15" s="294" t="s">
        <v>469</v>
      </c>
      <c r="BS15" s="288" t="s">
        <v>469</v>
      </c>
      <c r="BT15" s="292" t="s">
        <v>469</v>
      </c>
      <c r="BU15" s="293" t="s">
        <v>469</v>
      </c>
      <c r="BV15" s="293" t="s">
        <v>469</v>
      </c>
      <c r="BW15" s="293" t="s">
        <v>469</v>
      </c>
      <c r="BX15" s="293" t="s">
        <v>469</v>
      </c>
      <c r="BY15" s="294" t="s">
        <v>469</v>
      </c>
      <c r="CA15" s="288" t="s">
        <v>469</v>
      </c>
      <c r="CB15" s="292" t="s">
        <v>469</v>
      </c>
      <c r="CC15" s="293" t="s">
        <v>469</v>
      </c>
      <c r="CD15" s="293" t="s">
        <v>469</v>
      </c>
      <c r="CE15" s="293" t="s">
        <v>469</v>
      </c>
      <c r="CF15" s="293" t="s">
        <v>469</v>
      </c>
      <c r="CG15" s="294" t="s">
        <v>469</v>
      </c>
      <c r="CI15" s="288" t="s">
        <v>469</v>
      </c>
      <c r="CJ15" s="292" t="s">
        <v>469</v>
      </c>
      <c r="CK15" s="293" t="s">
        <v>469</v>
      </c>
      <c r="CL15" s="293" t="s">
        <v>469</v>
      </c>
      <c r="CM15" s="293" t="s">
        <v>469</v>
      </c>
      <c r="CN15" s="293" t="s">
        <v>469</v>
      </c>
      <c r="CO15" s="294" t="s">
        <v>469</v>
      </c>
      <c r="CQ15" s="295"/>
      <c r="CR15" s="209" t="s">
        <v>469</v>
      </c>
    </row>
    <row r="16" spans="3:96" ht="11.25">
      <c r="C16" s="241"/>
      <c r="D16" s="279" t="s">
        <v>311</v>
      </c>
      <c r="E16" s="280"/>
      <c r="F16" s="281"/>
      <c r="G16" s="297">
        <v>0</v>
      </c>
      <c r="H16" s="283" t="s">
        <v>312</v>
      </c>
      <c r="M16" s="209"/>
      <c r="O16" s="298"/>
      <c r="P16" s="244"/>
      <c r="Q16" s="244"/>
      <c r="R16" s="245"/>
      <c r="S16" s="243"/>
      <c r="T16" s="246"/>
      <c r="U16" s="247"/>
      <c r="W16" s="248"/>
      <c r="X16" s="271" t="s">
        <v>469</v>
      </c>
      <c r="Y16" s="271" t="s">
        <v>469</v>
      </c>
      <c r="Z16" s="271" t="s">
        <v>469</v>
      </c>
      <c r="AA16" s="271" t="s">
        <v>469</v>
      </c>
      <c r="AB16" s="271" t="s">
        <v>469</v>
      </c>
      <c r="AC16" s="272" t="s">
        <v>469</v>
      </c>
      <c r="AE16" s="288" t="s">
        <v>469</v>
      </c>
      <c r="AF16" s="292" t="s">
        <v>469</v>
      </c>
      <c r="AG16" s="293" t="s">
        <v>469</v>
      </c>
      <c r="AH16" s="293" t="s">
        <v>469</v>
      </c>
      <c r="AI16" s="293" t="s">
        <v>469</v>
      </c>
      <c r="AJ16" s="293" t="s">
        <v>469</v>
      </c>
      <c r="AK16" s="294" t="s">
        <v>469</v>
      </c>
      <c r="AM16" s="288" t="s">
        <v>469</v>
      </c>
      <c r="AN16" s="292" t="s">
        <v>469</v>
      </c>
      <c r="AO16" s="293" t="s">
        <v>469</v>
      </c>
      <c r="AP16" s="293" t="s">
        <v>469</v>
      </c>
      <c r="AQ16" s="293" t="s">
        <v>469</v>
      </c>
      <c r="AR16" s="293" t="s">
        <v>469</v>
      </c>
      <c r="AS16" s="294" t="s">
        <v>469</v>
      </c>
      <c r="AU16" s="288" t="s">
        <v>469</v>
      </c>
      <c r="AV16" s="292" t="s">
        <v>469</v>
      </c>
      <c r="AW16" s="293" t="s">
        <v>469</v>
      </c>
      <c r="AX16" s="293" t="s">
        <v>469</v>
      </c>
      <c r="AY16" s="293" t="s">
        <v>469</v>
      </c>
      <c r="AZ16" s="293" t="s">
        <v>469</v>
      </c>
      <c r="BA16" s="294" t="s">
        <v>469</v>
      </c>
      <c r="BC16" s="288" t="s">
        <v>469</v>
      </c>
      <c r="BD16" s="292" t="s">
        <v>469</v>
      </c>
      <c r="BE16" s="293" t="s">
        <v>469</v>
      </c>
      <c r="BF16" s="293" t="s">
        <v>469</v>
      </c>
      <c r="BG16" s="293" t="s">
        <v>469</v>
      </c>
      <c r="BH16" s="293" t="s">
        <v>469</v>
      </c>
      <c r="BI16" s="294" t="s">
        <v>469</v>
      </c>
      <c r="BK16" s="288" t="s">
        <v>469</v>
      </c>
      <c r="BL16" s="292" t="s">
        <v>469</v>
      </c>
      <c r="BM16" s="293" t="s">
        <v>469</v>
      </c>
      <c r="BN16" s="293" t="s">
        <v>469</v>
      </c>
      <c r="BO16" s="293" t="s">
        <v>469</v>
      </c>
      <c r="BP16" s="293" t="s">
        <v>469</v>
      </c>
      <c r="BQ16" s="294" t="s">
        <v>469</v>
      </c>
      <c r="BS16" s="288" t="s">
        <v>469</v>
      </c>
      <c r="BT16" s="292" t="s">
        <v>469</v>
      </c>
      <c r="BU16" s="293" t="s">
        <v>469</v>
      </c>
      <c r="BV16" s="293" t="s">
        <v>469</v>
      </c>
      <c r="BW16" s="293" t="s">
        <v>469</v>
      </c>
      <c r="BX16" s="293" t="s">
        <v>469</v>
      </c>
      <c r="BY16" s="294" t="s">
        <v>469</v>
      </c>
      <c r="CA16" s="288" t="s">
        <v>469</v>
      </c>
      <c r="CB16" s="292" t="s">
        <v>469</v>
      </c>
      <c r="CC16" s="293" t="s">
        <v>469</v>
      </c>
      <c r="CD16" s="293" t="s">
        <v>469</v>
      </c>
      <c r="CE16" s="293" t="s">
        <v>469</v>
      </c>
      <c r="CF16" s="293" t="s">
        <v>469</v>
      </c>
      <c r="CG16" s="294" t="s">
        <v>469</v>
      </c>
      <c r="CI16" s="288" t="s">
        <v>469</v>
      </c>
      <c r="CJ16" s="292" t="s">
        <v>469</v>
      </c>
      <c r="CK16" s="293" t="s">
        <v>469</v>
      </c>
      <c r="CL16" s="293" t="s">
        <v>469</v>
      </c>
      <c r="CM16" s="293" t="s">
        <v>469</v>
      </c>
      <c r="CN16" s="293" t="s">
        <v>469</v>
      </c>
      <c r="CO16" s="294" t="s">
        <v>469</v>
      </c>
      <c r="CQ16" s="295"/>
      <c r="CR16" s="209" t="s">
        <v>469</v>
      </c>
    </row>
    <row r="17" spans="4:99" ht="11.25">
      <c r="D17" s="279" t="s">
        <v>313</v>
      </c>
      <c r="E17" s="280"/>
      <c r="F17" s="281"/>
      <c r="G17" s="299">
        <v>120000</v>
      </c>
      <c r="H17" s="283" t="s">
        <v>314</v>
      </c>
      <c r="M17" s="263" t="e">
        <v>#VALUE!</v>
      </c>
      <c r="N17" s="207" t="s">
        <v>468</v>
      </c>
      <c r="O17" s="264">
        <v>1000</v>
      </c>
      <c r="P17" s="265" t="s">
        <v>315</v>
      </c>
      <c r="Q17" s="300"/>
      <c r="R17" s="267"/>
      <c r="S17" s="268">
        <v>0</v>
      </c>
      <c r="T17" s="268"/>
      <c r="U17" s="269" t="e">
        <v>#VALUE!</v>
      </c>
      <c r="W17" s="248"/>
      <c r="X17" s="271" t="s">
        <v>469</v>
      </c>
      <c r="Y17" s="271" t="s">
        <v>469</v>
      </c>
      <c r="Z17" s="271" t="s">
        <v>469</v>
      </c>
      <c r="AA17" s="271" t="s">
        <v>469</v>
      </c>
      <c r="AB17" s="271" t="s">
        <v>469</v>
      </c>
      <c r="AC17" s="272" t="s">
        <v>469</v>
      </c>
      <c r="AE17" s="288" t="s">
        <v>469</v>
      </c>
      <c r="AF17" s="292" t="s">
        <v>469</v>
      </c>
      <c r="AG17" s="293" t="s">
        <v>469</v>
      </c>
      <c r="AH17" s="293" t="s">
        <v>469</v>
      </c>
      <c r="AI17" s="293" t="s">
        <v>469</v>
      </c>
      <c r="AJ17" s="293" t="s">
        <v>469</v>
      </c>
      <c r="AK17" s="294" t="s">
        <v>469</v>
      </c>
      <c r="AM17" s="288" t="s">
        <v>469</v>
      </c>
      <c r="AN17" s="292" t="s">
        <v>469</v>
      </c>
      <c r="AO17" s="293" t="s">
        <v>469</v>
      </c>
      <c r="AP17" s="293" t="s">
        <v>469</v>
      </c>
      <c r="AQ17" s="293" t="s">
        <v>469</v>
      </c>
      <c r="AR17" s="293" t="s">
        <v>469</v>
      </c>
      <c r="AS17" s="294" t="s">
        <v>469</v>
      </c>
      <c r="AU17" s="288" t="s">
        <v>469</v>
      </c>
      <c r="AV17" s="292" t="s">
        <v>469</v>
      </c>
      <c r="AW17" s="293" t="s">
        <v>469</v>
      </c>
      <c r="AX17" s="293" t="s">
        <v>469</v>
      </c>
      <c r="AY17" s="293" t="s">
        <v>469</v>
      </c>
      <c r="AZ17" s="293" t="s">
        <v>469</v>
      </c>
      <c r="BA17" s="294" t="s">
        <v>469</v>
      </c>
      <c r="BC17" s="288" t="s">
        <v>469</v>
      </c>
      <c r="BD17" s="292" t="s">
        <v>469</v>
      </c>
      <c r="BE17" s="293" t="s">
        <v>469</v>
      </c>
      <c r="BF17" s="293" t="s">
        <v>469</v>
      </c>
      <c r="BG17" s="293" t="s">
        <v>469</v>
      </c>
      <c r="BH17" s="293" t="s">
        <v>469</v>
      </c>
      <c r="BI17" s="294" t="s">
        <v>469</v>
      </c>
      <c r="BK17" s="288" t="s">
        <v>469</v>
      </c>
      <c r="BL17" s="292" t="s">
        <v>469</v>
      </c>
      <c r="BM17" s="293" t="s">
        <v>469</v>
      </c>
      <c r="BN17" s="293" t="s">
        <v>469</v>
      </c>
      <c r="BO17" s="293" t="s">
        <v>469</v>
      </c>
      <c r="BP17" s="293" t="s">
        <v>469</v>
      </c>
      <c r="BQ17" s="294" t="s">
        <v>469</v>
      </c>
      <c r="BS17" s="288" t="s">
        <v>469</v>
      </c>
      <c r="BT17" s="292" t="s">
        <v>469</v>
      </c>
      <c r="BU17" s="293" t="s">
        <v>469</v>
      </c>
      <c r="BV17" s="293" t="s">
        <v>469</v>
      </c>
      <c r="BW17" s="293" t="s">
        <v>469</v>
      </c>
      <c r="BX17" s="293" t="s">
        <v>469</v>
      </c>
      <c r="BY17" s="294" t="s">
        <v>469</v>
      </c>
      <c r="CA17" s="288" t="s">
        <v>469</v>
      </c>
      <c r="CB17" s="292" t="s">
        <v>469</v>
      </c>
      <c r="CC17" s="293" t="s">
        <v>469</v>
      </c>
      <c r="CD17" s="293" t="s">
        <v>469</v>
      </c>
      <c r="CE17" s="293" t="s">
        <v>469</v>
      </c>
      <c r="CF17" s="293" t="s">
        <v>469</v>
      </c>
      <c r="CG17" s="294" t="s">
        <v>469</v>
      </c>
      <c r="CI17" s="288" t="s">
        <v>469</v>
      </c>
      <c r="CJ17" s="292" t="s">
        <v>469</v>
      </c>
      <c r="CK17" s="293" t="s">
        <v>469</v>
      </c>
      <c r="CL17" s="293" t="s">
        <v>469</v>
      </c>
      <c r="CM17" s="293" t="s">
        <v>469</v>
      </c>
      <c r="CN17" s="293" t="s">
        <v>469</v>
      </c>
      <c r="CO17" s="294" t="s">
        <v>469</v>
      </c>
      <c r="CQ17" s="277"/>
      <c r="CR17" s="209" t="s">
        <v>469</v>
      </c>
      <c r="CT17" s="207" t="s">
        <v>468</v>
      </c>
      <c r="CU17" s="278">
        <v>0</v>
      </c>
    </row>
    <row r="18" spans="4:96" ht="11.25">
      <c r="D18" s="279" t="s">
        <v>316</v>
      </c>
      <c r="E18" s="280"/>
      <c r="F18" s="281"/>
      <c r="G18" s="299">
        <v>0</v>
      </c>
      <c r="H18" s="283" t="s">
        <v>317</v>
      </c>
      <c r="M18" s="209" t="e">
        <v>#REF!</v>
      </c>
      <c r="O18" s="301">
        <v>1000</v>
      </c>
      <c r="P18" s="302" t="s">
        <v>318</v>
      </c>
      <c r="Q18" s="244"/>
      <c r="R18" s="245"/>
      <c r="S18" s="243"/>
      <c r="T18" s="286">
        <v>1.1148272017837235</v>
      </c>
      <c r="U18" s="287">
        <v>0</v>
      </c>
      <c r="W18" s="248"/>
      <c r="X18" s="271" t="s">
        <v>469</v>
      </c>
      <c r="Y18" s="271" t="s">
        <v>469</v>
      </c>
      <c r="Z18" s="271" t="s">
        <v>469</v>
      </c>
      <c r="AA18" s="271" t="s">
        <v>469</v>
      </c>
      <c r="AB18" s="271" t="s">
        <v>469</v>
      </c>
      <c r="AC18" s="272" t="s">
        <v>469</v>
      </c>
      <c r="AE18" s="288" t="s">
        <v>469</v>
      </c>
      <c r="AF18" s="292" t="s">
        <v>469</v>
      </c>
      <c r="AG18" s="293" t="s">
        <v>469</v>
      </c>
      <c r="AH18" s="293" t="s">
        <v>469</v>
      </c>
      <c r="AI18" s="293" t="s">
        <v>469</v>
      </c>
      <c r="AJ18" s="293" t="s">
        <v>469</v>
      </c>
      <c r="AK18" s="294" t="s">
        <v>469</v>
      </c>
      <c r="AM18" s="288" t="s">
        <v>469</v>
      </c>
      <c r="AN18" s="292" t="s">
        <v>469</v>
      </c>
      <c r="AO18" s="293" t="s">
        <v>469</v>
      </c>
      <c r="AP18" s="293" t="s">
        <v>469</v>
      </c>
      <c r="AQ18" s="293" t="s">
        <v>469</v>
      </c>
      <c r="AR18" s="293" t="s">
        <v>469</v>
      </c>
      <c r="AS18" s="294" t="s">
        <v>469</v>
      </c>
      <c r="AU18" s="288" t="s">
        <v>469</v>
      </c>
      <c r="AV18" s="292" t="s">
        <v>469</v>
      </c>
      <c r="AW18" s="293" t="s">
        <v>469</v>
      </c>
      <c r="AX18" s="293" t="s">
        <v>469</v>
      </c>
      <c r="AY18" s="293" t="s">
        <v>469</v>
      </c>
      <c r="AZ18" s="293" t="s">
        <v>469</v>
      </c>
      <c r="BA18" s="294" t="s">
        <v>469</v>
      </c>
      <c r="BC18" s="288" t="s">
        <v>469</v>
      </c>
      <c r="BD18" s="292" t="s">
        <v>469</v>
      </c>
      <c r="BE18" s="293" t="s">
        <v>469</v>
      </c>
      <c r="BF18" s="293" t="s">
        <v>469</v>
      </c>
      <c r="BG18" s="293" t="s">
        <v>469</v>
      </c>
      <c r="BH18" s="293" t="s">
        <v>469</v>
      </c>
      <c r="BI18" s="294" t="s">
        <v>469</v>
      </c>
      <c r="BK18" s="288" t="s">
        <v>469</v>
      </c>
      <c r="BL18" s="292" t="s">
        <v>469</v>
      </c>
      <c r="BM18" s="293" t="s">
        <v>469</v>
      </c>
      <c r="BN18" s="293" t="s">
        <v>469</v>
      </c>
      <c r="BO18" s="293" t="s">
        <v>469</v>
      </c>
      <c r="BP18" s="293" t="s">
        <v>469</v>
      </c>
      <c r="BQ18" s="294" t="s">
        <v>469</v>
      </c>
      <c r="BS18" s="288" t="s">
        <v>469</v>
      </c>
      <c r="BT18" s="292" t="s">
        <v>469</v>
      </c>
      <c r="BU18" s="293" t="s">
        <v>469</v>
      </c>
      <c r="BV18" s="293" t="s">
        <v>469</v>
      </c>
      <c r="BW18" s="293" t="s">
        <v>469</v>
      </c>
      <c r="BX18" s="293" t="s">
        <v>469</v>
      </c>
      <c r="BY18" s="294" t="s">
        <v>469</v>
      </c>
      <c r="CA18" s="288" t="s">
        <v>469</v>
      </c>
      <c r="CB18" s="292" t="s">
        <v>469</v>
      </c>
      <c r="CC18" s="293" t="s">
        <v>469</v>
      </c>
      <c r="CD18" s="293" t="s">
        <v>469</v>
      </c>
      <c r="CE18" s="293" t="s">
        <v>469</v>
      </c>
      <c r="CF18" s="293" t="s">
        <v>469</v>
      </c>
      <c r="CG18" s="294" t="s">
        <v>469</v>
      </c>
      <c r="CI18" s="288" t="s">
        <v>469</v>
      </c>
      <c r="CJ18" s="292" t="s">
        <v>469</v>
      </c>
      <c r="CK18" s="293" t="s">
        <v>469</v>
      </c>
      <c r="CL18" s="293" t="s">
        <v>469</v>
      </c>
      <c r="CM18" s="293" t="s">
        <v>469</v>
      </c>
      <c r="CN18" s="293" t="s">
        <v>469</v>
      </c>
      <c r="CO18" s="294" t="s">
        <v>469</v>
      </c>
      <c r="CQ18" s="295" t="e">
        <v>#REF!</v>
      </c>
      <c r="CR18" s="209" t="e">
        <v>#REF!</v>
      </c>
    </row>
    <row r="19" spans="3:96" ht="11.25">
      <c r="C19" s="241"/>
      <c r="D19" s="279" t="s">
        <v>319</v>
      </c>
      <c r="E19" s="280"/>
      <c r="F19" s="281"/>
      <c r="G19" s="282" t="s">
        <v>320</v>
      </c>
      <c r="H19" s="283"/>
      <c r="M19" s="209" t="e">
        <v>#REF!</v>
      </c>
      <c r="O19" s="301">
        <v>1010</v>
      </c>
      <c r="P19" s="302" t="s">
        <v>321</v>
      </c>
      <c r="Q19" s="244"/>
      <c r="R19" s="245"/>
      <c r="S19" s="243"/>
      <c r="T19" s="286">
        <v>1.1148272017837235</v>
      </c>
      <c r="U19" s="287">
        <v>0</v>
      </c>
      <c r="W19" s="248"/>
      <c r="X19" s="271" t="s">
        <v>469</v>
      </c>
      <c r="Y19" s="271" t="s">
        <v>469</v>
      </c>
      <c r="Z19" s="271" t="s">
        <v>469</v>
      </c>
      <c r="AA19" s="271" t="s">
        <v>469</v>
      </c>
      <c r="AB19" s="271" t="s">
        <v>469</v>
      </c>
      <c r="AC19" s="272" t="s">
        <v>469</v>
      </c>
      <c r="AE19" s="288" t="s">
        <v>469</v>
      </c>
      <c r="AF19" s="292" t="s">
        <v>469</v>
      </c>
      <c r="AG19" s="293" t="s">
        <v>469</v>
      </c>
      <c r="AH19" s="293" t="s">
        <v>469</v>
      </c>
      <c r="AI19" s="293" t="s">
        <v>469</v>
      </c>
      <c r="AJ19" s="293" t="s">
        <v>469</v>
      </c>
      <c r="AK19" s="294" t="s">
        <v>469</v>
      </c>
      <c r="AM19" s="288" t="s">
        <v>469</v>
      </c>
      <c r="AN19" s="292" t="s">
        <v>469</v>
      </c>
      <c r="AO19" s="293" t="s">
        <v>469</v>
      </c>
      <c r="AP19" s="293" t="s">
        <v>469</v>
      </c>
      <c r="AQ19" s="293" t="s">
        <v>469</v>
      </c>
      <c r="AR19" s="293" t="s">
        <v>469</v>
      </c>
      <c r="AS19" s="294" t="s">
        <v>469</v>
      </c>
      <c r="AU19" s="288" t="s">
        <v>469</v>
      </c>
      <c r="AV19" s="292" t="s">
        <v>469</v>
      </c>
      <c r="AW19" s="293" t="s">
        <v>469</v>
      </c>
      <c r="AX19" s="293" t="s">
        <v>469</v>
      </c>
      <c r="AY19" s="293" t="s">
        <v>469</v>
      </c>
      <c r="AZ19" s="293" t="s">
        <v>469</v>
      </c>
      <c r="BA19" s="294" t="s">
        <v>469</v>
      </c>
      <c r="BC19" s="288" t="s">
        <v>469</v>
      </c>
      <c r="BD19" s="292" t="s">
        <v>469</v>
      </c>
      <c r="BE19" s="293" t="s">
        <v>469</v>
      </c>
      <c r="BF19" s="293" t="s">
        <v>469</v>
      </c>
      <c r="BG19" s="293" t="s">
        <v>469</v>
      </c>
      <c r="BH19" s="293" t="s">
        <v>469</v>
      </c>
      <c r="BI19" s="294" t="s">
        <v>469</v>
      </c>
      <c r="BK19" s="288" t="s">
        <v>469</v>
      </c>
      <c r="BL19" s="292" t="s">
        <v>469</v>
      </c>
      <c r="BM19" s="293" t="s">
        <v>469</v>
      </c>
      <c r="BN19" s="293" t="s">
        <v>469</v>
      </c>
      <c r="BO19" s="293" t="s">
        <v>469</v>
      </c>
      <c r="BP19" s="293" t="s">
        <v>469</v>
      </c>
      <c r="BQ19" s="294" t="s">
        <v>469</v>
      </c>
      <c r="BS19" s="288" t="s">
        <v>469</v>
      </c>
      <c r="BT19" s="292" t="s">
        <v>469</v>
      </c>
      <c r="BU19" s="293" t="s">
        <v>469</v>
      </c>
      <c r="BV19" s="293" t="s">
        <v>469</v>
      </c>
      <c r="BW19" s="293" t="s">
        <v>469</v>
      </c>
      <c r="BX19" s="293" t="s">
        <v>469</v>
      </c>
      <c r="BY19" s="294" t="s">
        <v>469</v>
      </c>
      <c r="CA19" s="288" t="s">
        <v>469</v>
      </c>
      <c r="CB19" s="292" t="s">
        <v>469</v>
      </c>
      <c r="CC19" s="293" t="s">
        <v>469</v>
      </c>
      <c r="CD19" s="293" t="s">
        <v>469</v>
      </c>
      <c r="CE19" s="293" t="s">
        <v>469</v>
      </c>
      <c r="CF19" s="293" t="s">
        <v>469</v>
      </c>
      <c r="CG19" s="294" t="s">
        <v>469</v>
      </c>
      <c r="CI19" s="288" t="s">
        <v>469</v>
      </c>
      <c r="CJ19" s="292" t="s">
        <v>469</v>
      </c>
      <c r="CK19" s="293" t="s">
        <v>469</v>
      </c>
      <c r="CL19" s="293" t="s">
        <v>469</v>
      </c>
      <c r="CM19" s="293" t="s">
        <v>469</v>
      </c>
      <c r="CN19" s="293" t="s">
        <v>469</v>
      </c>
      <c r="CO19" s="294" t="s">
        <v>469</v>
      </c>
      <c r="CQ19" s="295" t="e">
        <v>#REF!</v>
      </c>
      <c r="CR19" s="209" t="e">
        <v>#REF!</v>
      </c>
    </row>
    <row r="20" spans="3:96" ht="11.25">
      <c r="C20" s="241"/>
      <c r="D20" s="279" t="s">
        <v>322</v>
      </c>
      <c r="E20" s="280"/>
      <c r="F20" s="281"/>
      <c r="G20" s="303">
        <v>1.5873015873015872</v>
      </c>
      <c r="H20" s="283" t="s">
        <v>323</v>
      </c>
      <c r="M20" s="209" t="e">
        <v>#REF!</v>
      </c>
      <c r="O20" s="301">
        <v>1100</v>
      </c>
      <c r="P20" s="302" t="s">
        <v>324</v>
      </c>
      <c r="Q20" s="244"/>
      <c r="R20" s="245"/>
      <c r="S20" s="285">
        <v>0</v>
      </c>
      <c r="T20" s="286">
        <v>1.1148272017837235</v>
      </c>
      <c r="U20" s="287">
        <v>0</v>
      </c>
      <c r="V20" s="208" t="s">
        <v>286</v>
      </c>
      <c r="W20" s="248" t="s">
        <v>280</v>
      </c>
      <c r="X20" s="271" t="s">
        <v>469</v>
      </c>
      <c r="Y20" s="271" t="e">
        <v>#REF!</v>
      </c>
      <c r="Z20" s="271" t="s">
        <v>469</v>
      </c>
      <c r="AA20" s="271" t="s">
        <v>469</v>
      </c>
      <c r="AB20" s="271" t="s">
        <v>469</v>
      </c>
      <c r="AC20" s="272" t="s">
        <v>469</v>
      </c>
      <c r="AE20" s="288" t="s">
        <v>469</v>
      </c>
      <c r="AF20" s="292" t="s">
        <v>469</v>
      </c>
      <c r="AG20" s="293" t="s">
        <v>469</v>
      </c>
      <c r="AH20" s="293" t="s">
        <v>469</v>
      </c>
      <c r="AI20" s="293" t="s">
        <v>469</v>
      </c>
      <c r="AJ20" s="293" t="s">
        <v>469</v>
      </c>
      <c r="AK20" s="294" t="s">
        <v>469</v>
      </c>
      <c r="AM20" s="288" t="s">
        <v>469</v>
      </c>
      <c r="AN20" s="292" t="s">
        <v>469</v>
      </c>
      <c r="AO20" s="293" t="s">
        <v>469</v>
      </c>
      <c r="AP20" s="293" t="s">
        <v>469</v>
      </c>
      <c r="AQ20" s="293" t="s">
        <v>469</v>
      </c>
      <c r="AR20" s="293" t="s">
        <v>469</v>
      </c>
      <c r="AS20" s="294" t="s">
        <v>469</v>
      </c>
      <c r="AU20" s="288">
        <v>0</v>
      </c>
      <c r="AV20" s="292" t="s">
        <v>469</v>
      </c>
      <c r="AW20" s="293" t="e">
        <v>#REF!</v>
      </c>
      <c r="AX20" s="293" t="s">
        <v>469</v>
      </c>
      <c r="AY20" s="293" t="s">
        <v>469</v>
      </c>
      <c r="AZ20" s="293" t="s">
        <v>469</v>
      </c>
      <c r="BA20" s="294" t="s">
        <v>469</v>
      </c>
      <c r="BC20" s="288" t="s">
        <v>469</v>
      </c>
      <c r="BD20" s="292" t="s">
        <v>469</v>
      </c>
      <c r="BE20" s="293" t="s">
        <v>469</v>
      </c>
      <c r="BF20" s="293" t="s">
        <v>469</v>
      </c>
      <c r="BG20" s="293" t="s">
        <v>469</v>
      </c>
      <c r="BH20" s="293" t="s">
        <v>469</v>
      </c>
      <c r="BI20" s="294" t="s">
        <v>469</v>
      </c>
      <c r="BK20" s="288" t="s">
        <v>469</v>
      </c>
      <c r="BL20" s="292" t="s">
        <v>469</v>
      </c>
      <c r="BM20" s="293" t="s">
        <v>469</v>
      </c>
      <c r="BN20" s="293" t="s">
        <v>469</v>
      </c>
      <c r="BO20" s="293" t="s">
        <v>469</v>
      </c>
      <c r="BP20" s="293" t="s">
        <v>469</v>
      </c>
      <c r="BQ20" s="294" t="s">
        <v>469</v>
      </c>
      <c r="BS20" s="288" t="s">
        <v>469</v>
      </c>
      <c r="BT20" s="292" t="s">
        <v>469</v>
      </c>
      <c r="BU20" s="293" t="s">
        <v>469</v>
      </c>
      <c r="BV20" s="293" t="s">
        <v>469</v>
      </c>
      <c r="BW20" s="293" t="s">
        <v>469</v>
      </c>
      <c r="BX20" s="293" t="s">
        <v>469</v>
      </c>
      <c r="BY20" s="294" t="s">
        <v>469</v>
      </c>
      <c r="CA20" s="288" t="s">
        <v>469</v>
      </c>
      <c r="CB20" s="292" t="s">
        <v>469</v>
      </c>
      <c r="CC20" s="293" t="s">
        <v>469</v>
      </c>
      <c r="CD20" s="293" t="s">
        <v>469</v>
      </c>
      <c r="CE20" s="293" t="s">
        <v>469</v>
      </c>
      <c r="CF20" s="293" t="s">
        <v>469</v>
      </c>
      <c r="CG20" s="294" t="s">
        <v>469</v>
      </c>
      <c r="CI20" s="288" t="s">
        <v>469</v>
      </c>
      <c r="CJ20" s="292" t="s">
        <v>469</v>
      </c>
      <c r="CK20" s="293" t="s">
        <v>469</v>
      </c>
      <c r="CL20" s="293" t="s">
        <v>469</v>
      </c>
      <c r="CM20" s="293" t="s">
        <v>469</v>
      </c>
      <c r="CN20" s="293" t="s">
        <v>469</v>
      </c>
      <c r="CO20" s="294" t="s">
        <v>469</v>
      </c>
      <c r="CQ20" s="295" t="e">
        <v>#REF!</v>
      </c>
      <c r="CR20" s="209" t="e">
        <v>#REF!</v>
      </c>
    </row>
    <row r="21" spans="3:96" ht="11.25">
      <c r="C21" s="222"/>
      <c r="D21" s="304" t="s">
        <v>325</v>
      </c>
      <c r="E21" s="305"/>
      <c r="F21" s="306"/>
      <c r="G21" s="307">
        <v>63</v>
      </c>
      <c r="H21" s="308" t="s">
        <v>212</v>
      </c>
      <c r="J21" s="309"/>
      <c r="K21" s="309"/>
      <c r="L21" s="309"/>
      <c r="M21" s="209" t="e">
        <v>#VALUE!</v>
      </c>
      <c r="O21" s="310"/>
      <c r="P21" s="311" t="s">
        <v>326</v>
      </c>
      <c r="Q21" s="244"/>
      <c r="R21" s="245"/>
      <c r="S21" s="285" t="s">
        <v>337</v>
      </c>
      <c r="T21" s="286">
        <v>1.1148272017837235</v>
      </c>
      <c r="U21" s="287" t="e">
        <v>#VALUE!</v>
      </c>
      <c r="W21" s="248"/>
      <c r="X21" s="271" t="s">
        <v>469</v>
      </c>
      <c r="Y21" s="271" t="s">
        <v>469</v>
      </c>
      <c r="Z21" s="271" t="s">
        <v>469</v>
      </c>
      <c r="AA21" s="271" t="s">
        <v>469</v>
      </c>
      <c r="AB21" s="271" t="s">
        <v>469</v>
      </c>
      <c r="AC21" s="272" t="s">
        <v>469</v>
      </c>
      <c r="AE21" s="288" t="s">
        <v>469</v>
      </c>
      <c r="AF21" s="292" t="s">
        <v>469</v>
      </c>
      <c r="AG21" s="293" t="s">
        <v>469</v>
      </c>
      <c r="AH21" s="293" t="s">
        <v>469</v>
      </c>
      <c r="AI21" s="293" t="s">
        <v>469</v>
      </c>
      <c r="AJ21" s="293" t="s">
        <v>469</v>
      </c>
      <c r="AK21" s="294" t="s">
        <v>469</v>
      </c>
      <c r="AM21" s="288" t="s">
        <v>469</v>
      </c>
      <c r="AN21" s="292" t="s">
        <v>469</v>
      </c>
      <c r="AO21" s="293" t="s">
        <v>469</v>
      </c>
      <c r="AP21" s="293" t="s">
        <v>469</v>
      </c>
      <c r="AQ21" s="293" t="s">
        <v>469</v>
      </c>
      <c r="AR21" s="293" t="s">
        <v>469</v>
      </c>
      <c r="AS21" s="294" t="s">
        <v>469</v>
      </c>
      <c r="AU21" s="288" t="s">
        <v>469</v>
      </c>
      <c r="AV21" s="292" t="s">
        <v>469</v>
      </c>
      <c r="AW21" s="293" t="s">
        <v>469</v>
      </c>
      <c r="AX21" s="293" t="s">
        <v>469</v>
      </c>
      <c r="AY21" s="293" t="s">
        <v>469</v>
      </c>
      <c r="AZ21" s="293" t="s">
        <v>469</v>
      </c>
      <c r="BA21" s="294" t="s">
        <v>469</v>
      </c>
      <c r="BC21" s="288" t="s">
        <v>469</v>
      </c>
      <c r="BD21" s="292" t="s">
        <v>469</v>
      </c>
      <c r="BE21" s="293" t="s">
        <v>469</v>
      </c>
      <c r="BF21" s="293" t="s">
        <v>469</v>
      </c>
      <c r="BG21" s="293" t="s">
        <v>469</v>
      </c>
      <c r="BH21" s="293" t="s">
        <v>469</v>
      </c>
      <c r="BI21" s="294" t="s">
        <v>469</v>
      </c>
      <c r="BK21" s="288" t="s">
        <v>469</v>
      </c>
      <c r="BL21" s="292" t="s">
        <v>469</v>
      </c>
      <c r="BM21" s="293" t="s">
        <v>469</v>
      </c>
      <c r="BN21" s="293" t="s">
        <v>469</v>
      </c>
      <c r="BO21" s="293" t="s">
        <v>469</v>
      </c>
      <c r="BP21" s="293" t="s">
        <v>469</v>
      </c>
      <c r="BQ21" s="294" t="s">
        <v>469</v>
      </c>
      <c r="BS21" s="288" t="s">
        <v>469</v>
      </c>
      <c r="BT21" s="292" t="s">
        <v>469</v>
      </c>
      <c r="BU21" s="293" t="s">
        <v>469</v>
      </c>
      <c r="BV21" s="293" t="s">
        <v>469</v>
      </c>
      <c r="BW21" s="293" t="s">
        <v>469</v>
      </c>
      <c r="BX21" s="293" t="s">
        <v>469</v>
      </c>
      <c r="BY21" s="294" t="s">
        <v>469</v>
      </c>
      <c r="CA21" s="288" t="s">
        <v>469</v>
      </c>
      <c r="CB21" s="292" t="s">
        <v>469</v>
      </c>
      <c r="CC21" s="293" t="s">
        <v>469</v>
      </c>
      <c r="CD21" s="293" t="s">
        <v>469</v>
      </c>
      <c r="CE21" s="293" t="s">
        <v>469</v>
      </c>
      <c r="CF21" s="293" t="s">
        <v>469</v>
      </c>
      <c r="CG21" s="294" t="s">
        <v>469</v>
      </c>
      <c r="CI21" s="288" t="s">
        <v>469</v>
      </c>
      <c r="CJ21" s="292" t="s">
        <v>469</v>
      </c>
      <c r="CK21" s="293" t="s">
        <v>469</v>
      </c>
      <c r="CL21" s="293" t="s">
        <v>469</v>
      </c>
      <c r="CM21" s="293" t="s">
        <v>469</v>
      </c>
      <c r="CN21" s="293" t="s">
        <v>469</v>
      </c>
      <c r="CO21" s="294" t="s">
        <v>469</v>
      </c>
      <c r="CQ21" s="295" t="e">
        <v>#VALUE!</v>
      </c>
      <c r="CR21" s="209" t="e">
        <v>#VALUE!</v>
      </c>
    </row>
    <row r="22" spans="3:96" ht="18" customHeight="1">
      <c r="C22" s="222"/>
      <c r="D22" s="312" t="s">
        <v>327</v>
      </c>
      <c r="E22" s="223"/>
      <c r="F22" s="223"/>
      <c r="M22" s="209" t="e">
        <v>#REF!</v>
      </c>
      <c r="O22" s="301">
        <v>1200</v>
      </c>
      <c r="P22" s="302" t="s">
        <v>328</v>
      </c>
      <c r="Q22" s="244"/>
      <c r="R22" s="245"/>
      <c r="S22" s="243"/>
      <c r="T22" s="286">
        <v>1.1148272017837235</v>
      </c>
      <c r="U22" s="287">
        <v>0</v>
      </c>
      <c r="W22" s="248"/>
      <c r="X22" s="271" t="s">
        <v>469</v>
      </c>
      <c r="Y22" s="271" t="s">
        <v>469</v>
      </c>
      <c r="Z22" s="271" t="s">
        <v>469</v>
      </c>
      <c r="AA22" s="271" t="s">
        <v>469</v>
      </c>
      <c r="AB22" s="271" t="s">
        <v>469</v>
      </c>
      <c r="AC22" s="272" t="s">
        <v>469</v>
      </c>
      <c r="AE22" s="288" t="s">
        <v>469</v>
      </c>
      <c r="AF22" s="292" t="s">
        <v>469</v>
      </c>
      <c r="AG22" s="293" t="s">
        <v>469</v>
      </c>
      <c r="AH22" s="293" t="s">
        <v>469</v>
      </c>
      <c r="AI22" s="293" t="s">
        <v>469</v>
      </c>
      <c r="AJ22" s="293" t="s">
        <v>469</v>
      </c>
      <c r="AK22" s="294" t="s">
        <v>469</v>
      </c>
      <c r="AM22" s="288" t="s">
        <v>469</v>
      </c>
      <c r="AN22" s="292" t="s">
        <v>469</v>
      </c>
      <c r="AO22" s="293" t="s">
        <v>469</v>
      </c>
      <c r="AP22" s="293" t="s">
        <v>469</v>
      </c>
      <c r="AQ22" s="293" t="s">
        <v>469</v>
      </c>
      <c r="AR22" s="293" t="s">
        <v>469</v>
      </c>
      <c r="AS22" s="294" t="s">
        <v>469</v>
      </c>
      <c r="AU22" s="288" t="s">
        <v>469</v>
      </c>
      <c r="AV22" s="292" t="s">
        <v>469</v>
      </c>
      <c r="AW22" s="293" t="s">
        <v>469</v>
      </c>
      <c r="AX22" s="293" t="s">
        <v>469</v>
      </c>
      <c r="AY22" s="293" t="s">
        <v>469</v>
      </c>
      <c r="AZ22" s="293" t="s">
        <v>469</v>
      </c>
      <c r="BA22" s="294" t="s">
        <v>469</v>
      </c>
      <c r="BC22" s="288" t="s">
        <v>469</v>
      </c>
      <c r="BD22" s="292" t="s">
        <v>469</v>
      </c>
      <c r="BE22" s="293" t="s">
        <v>469</v>
      </c>
      <c r="BF22" s="293" t="s">
        <v>469</v>
      </c>
      <c r="BG22" s="293" t="s">
        <v>469</v>
      </c>
      <c r="BH22" s="293" t="s">
        <v>469</v>
      </c>
      <c r="BI22" s="294" t="s">
        <v>469</v>
      </c>
      <c r="BK22" s="288" t="s">
        <v>469</v>
      </c>
      <c r="BL22" s="292" t="s">
        <v>469</v>
      </c>
      <c r="BM22" s="293" t="s">
        <v>469</v>
      </c>
      <c r="BN22" s="293" t="s">
        <v>469</v>
      </c>
      <c r="BO22" s="293" t="s">
        <v>469</v>
      </c>
      <c r="BP22" s="293" t="s">
        <v>469</v>
      </c>
      <c r="BQ22" s="294" t="s">
        <v>469</v>
      </c>
      <c r="BS22" s="288" t="s">
        <v>469</v>
      </c>
      <c r="BT22" s="292" t="s">
        <v>469</v>
      </c>
      <c r="BU22" s="293" t="s">
        <v>469</v>
      </c>
      <c r="BV22" s="293" t="s">
        <v>469</v>
      </c>
      <c r="BW22" s="293" t="s">
        <v>469</v>
      </c>
      <c r="BX22" s="293" t="s">
        <v>469</v>
      </c>
      <c r="BY22" s="294" t="s">
        <v>469</v>
      </c>
      <c r="CA22" s="288" t="s">
        <v>469</v>
      </c>
      <c r="CB22" s="292" t="s">
        <v>469</v>
      </c>
      <c r="CC22" s="293" t="s">
        <v>469</v>
      </c>
      <c r="CD22" s="293" t="s">
        <v>469</v>
      </c>
      <c r="CE22" s="293" t="s">
        <v>469</v>
      </c>
      <c r="CF22" s="293" t="s">
        <v>469</v>
      </c>
      <c r="CG22" s="294" t="s">
        <v>469</v>
      </c>
      <c r="CI22" s="288" t="s">
        <v>469</v>
      </c>
      <c r="CJ22" s="292" t="s">
        <v>469</v>
      </c>
      <c r="CK22" s="293" t="s">
        <v>469</v>
      </c>
      <c r="CL22" s="293" t="s">
        <v>469</v>
      </c>
      <c r="CM22" s="293" t="s">
        <v>469</v>
      </c>
      <c r="CN22" s="293" t="s">
        <v>469</v>
      </c>
      <c r="CO22" s="294" t="s">
        <v>469</v>
      </c>
      <c r="CQ22" s="295" t="e">
        <v>#REF!</v>
      </c>
      <c r="CR22" s="209" t="e">
        <v>#REF!</v>
      </c>
    </row>
    <row r="23" spans="2:99" s="315" customFormat="1" ht="15.75" customHeight="1">
      <c r="B23" s="403" t="s">
        <v>261</v>
      </c>
      <c r="C23" s="403" t="s">
        <v>262</v>
      </c>
      <c r="D23" s="415"/>
      <c r="E23" s="416" t="s">
        <v>329</v>
      </c>
      <c r="F23" s="417">
        <v>1.1148272017837235</v>
      </c>
      <c r="G23" s="418"/>
      <c r="H23" s="358"/>
      <c r="I23" s="313"/>
      <c r="J23" s="314"/>
      <c r="M23" s="209"/>
      <c r="N23" s="207"/>
      <c r="O23" s="298"/>
      <c r="P23" s="244"/>
      <c r="Q23" s="244"/>
      <c r="R23" s="245"/>
      <c r="S23" s="243"/>
      <c r="T23" s="246"/>
      <c r="U23" s="247"/>
      <c r="V23" s="316"/>
      <c r="W23" s="317"/>
      <c r="X23" s="271" t="s">
        <v>469</v>
      </c>
      <c r="Y23" s="271" t="s">
        <v>469</v>
      </c>
      <c r="Z23" s="271" t="s">
        <v>469</v>
      </c>
      <c r="AA23" s="271" t="s">
        <v>469</v>
      </c>
      <c r="AB23" s="271" t="s">
        <v>469</v>
      </c>
      <c r="AC23" s="272" t="s">
        <v>469</v>
      </c>
      <c r="AD23" s="207"/>
      <c r="AE23" s="288" t="s">
        <v>469</v>
      </c>
      <c r="AF23" s="292" t="s">
        <v>469</v>
      </c>
      <c r="AG23" s="293" t="s">
        <v>469</v>
      </c>
      <c r="AH23" s="293" t="s">
        <v>469</v>
      </c>
      <c r="AI23" s="293" t="s">
        <v>469</v>
      </c>
      <c r="AJ23" s="293" t="s">
        <v>469</v>
      </c>
      <c r="AK23" s="294" t="s">
        <v>469</v>
      </c>
      <c r="AL23" s="207"/>
      <c r="AM23" s="288" t="s">
        <v>469</v>
      </c>
      <c r="AN23" s="292" t="s">
        <v>469</v>
      </c>
      <c r="AO23" s="293" t="s">
        <v>469</v>
      </c>
      <c r="AP23" s="293" t="s">
        <v>469</v>
      </c>
      <c r="AQ23" s="293" t="s">
        <v>469</v>
      </c>
      <c r="AR23" s="293" t="s">
        <v>469</v>
      </c>
      <c r="AS23" s="294" t="s">
        <v>469</v>
      </c>
      <c r="AT23" s="207"/>
      <c r="AU23" s="288" t="s">
        <v>469</v>
      </c>
      <c r="AV23" s="292" t="s">
        <v>469</v>
      </c>
      <c r="AW23" s="293" t="s">
        <v>469</v>
      </c>
      <c r="AX23" s="293" t="s">
        <v>469</v>
      </c>
      <c r="AY23" s="293" t="s">
        <v>469</v>
      </c>
      <c r="AZ23" s="293" t="s">
        <v>469</v>
      </c>
      <c r="BA23" s="294" t="s">
        <v>469</v>
      </c>
      <c r="BB23" s="207"/>
      <c r="BC23" s="288" t="s">
        <v>469</v>
      </c>
      <c r="BD23" s="292" t="s">
        <v>469</v>
      </c>
      <c r="BE23" s="293" t="s">
        <v>469</v>
      </c>
      <c r="BF23" s="293" t="s">
        <v>469</v>
      </c>
      <c r="BG23" s="293" t="s">
        <v>469</v>
      </c>
      <c r="BH23" s="293" t="s">
        <v>469</v>
      </c>
      <c r="BI23" s="294" t="s">
        <v>469</v>
      </c>
      <c r="BJ23" s="207"/>
      <c r="BK23" s="288" t="s">
        <v>469</v>
      </c>
      <c r="BL23" s="292" t="s">
        <v>469</v>
      </c>
      <c r="BM23" s="293" t="s">
        <v>469</v>
      </c>
      <c r="BN23" s="293" t="s">
        <v>469</v>
      </c>
      <c r="BO23" s="293" t="s">
        <v>469</v>
      </c>
      <c r="BP23" s="293" t="s">
        <v>469</v>
      </c>
      <c r="BQ23" s="294" t="s">
        <v>469</v>
      </c>
      <c r="BR23" s="207"/>
      <c r="BS23" s="288" t="s">
        <v>469</v>
      </c>
      <c r="BT23" s="292" t="s">
        <v>469</v>
      </c>
      <c r="BU23" s="293" t="s">
        <v>469</v>
      </c>
      <c r="BV23" s="293" t="s">
        <v>469</v>
      </c>
      <c r="BW23" s="293" t="s">
        <v>469</v>
      </c>
      <c r="BX23" s="293" t="s">
        <v>469</v>
      </c>
      <c r="BY23" s="294" t="s">
        <v>469</v>
      </c>
      <c r="BZ23" s="207"/>
      <c r="CA23" s="288" t="s">
        <v>469</v>
      </c>
      <c r="CB23" s="292" t="s">
        <v>469</v>
      </c>
      <c r="CC23" s="293" t="s">
        <v>469</v>
      </c>
      <c r="CD23" s="293" t="s">
        <v>469</v>
      </c>
      <c r="CE23" s="293" t="s">
        <v>469</v>
      </c>
      <c r="CF23" s="293" t="s">
        <v>469</v>
      </c>
      <c r="CG23" s="294" t="s">
        <v>469</v>
      </c>
      <c r="CH23" s="207"/>
      <c r="CI23" s="288" t="s">
        <v>469</v>
      </c>
      <c r="CJ23" s="292" t="s">
        <v>469</v>
      </c>
      <c r="CK23" s="293" t="s">
        <v>469</v>
      </c>
      <c r="CL23" s="293" t="s">
        <v>469</v>
      </c>
      <c r="CM23" s="293" t="s">
        <v>469</v>
      </c>
      <c r="CN23" s="293" t="s">
        <v>469</v>
      </c>
      <c r="CO23" s="294" t="s">
        <v>469</v>
      </c>
      <c r="CP23" s="207"/>
      <c r="CQ23" s="295"/>
      <c r="CR23" s="209" t="s">
        <v>469</v>
      </c>
      <c r="CS23" s="207"/>
      <c r="CT23" s="207"/>
      <c r="CU23" s="207"/>
    </row>
    <row r="24" spans="2:99" s="315" customFormat="1" ht="15.75" customHeight="1">
      <c r="B24" s="419"/>
      <c r="C24" s="420"/>
      <c r="D24" s="420"/>
      <c r="E24" s="416" t="s">
        <v>330</v>
      </c>
      <c r="F24" s="417">
        <v>2.891574648940916</v>
      </c>
      <c r="G24" s="418"/>
      <c r="H24" s="421" t="s">
        <v>331</v>
      </c>
      <c r="I24" s="237" t="s">
        <v>332</v>
      </c>
      <c r="J24" s="314"/>
      <c r="M24" s="263" t="e">
        <v>#REF!</v>
      </c>
      <c r="N24" s="207" t="e">
        <v>#REF!</v>
      </c>
      <c r="O24" s="264">
        <v>2000</v>
      </c>
      <c r="P24" s="302" t="s">
        <v>333</v>
      </c>
      <c r="Q24" s="244"/>
      <c r="R24" s="267"/>
      <c r="S24" s="268" t="e">
        <v>#REF!</v>
      </c>
      <c r="T24" s="268"/>
      <c r="U24" s="269" t="e">
        <v>#REF!</v>
      </c>
      <c r="V24" s="316"/>
      <c r="W24" s="317"/>
      <c r="X24" s="271" t="s">
        <v>469</v>
      </c>
      <c r="Y24" s="271" t="s">
        <v>469</v>
      </c>
      <c r="Z24" s="271" t="s">
        <v>469</v>
      </c>
      <c r="AA24" s="271" t="s">
        <v>469</v>
      </c>
      <c r="AB24" s="271" t="s">
        <v>469</v>
      </c>
      <c r="AC24" s="272" t="s">
        <v>469</v>
      </c>
      <c r="AD24" s="207"/>
      <c r="AE24" s="288" t="s">
        <v>469</v>
      </c>
      <c r="AF24" s="292" t="s">
        <v>469</v>
      </c>
      <c r="AG24" s="293" t="s">
        <v>469</v>
      </c>
      <c r="AH24" s="293" t="s">
        <v>469</v>
      </c>
      <c r="AI24" s="293" t="s">
        <v>469</v>
      </c>
      <c r="AJ24" s="293" t="s">
        <v>469</v>
      </c>
      <c r="AK24" s="294" t="s">
        <v>469</v>
      </c>
      <c r="AL24" s="207"/>
      <c r="AM24" s="288" t="s">
        <v>469</v>
      </c>
      <c r="AN24" s="292" t="s">
        <v>469</v>
      </c>
      <c r="AO24" s="293" t="s">
        <v>469</v>
      </c>
      <c r="AP24" s="293" t="s">
        <v>469</v>
      </c>
      <c r="AQ24" s="293" t="s">
        <v>469</v>
      </c>
      <c r="AR24" s="293" t="s">
        <v>469</v>
      </c>
      <c r="AS24" s="294" t="s">
        <v>469</v>
      </c>
      <c r="AT24" s="207"/>
      <c r="AU24" s="288" t="s">
        <v>469</v>
      </c>
      <c r="AV24" s="292" t="s">
        <v>469</v>
      </c>
      <c r="AW24" s="293" t="s">
        <v>469</v>
      </c>
      <c r="AX24" s="293" t="s">
        <v>469</v>
      </c>
      <c r="AY24" s="293" t="s">
        <v>469</v>
      </c>
      <c r="AZ24" s="293" t="s">
        <v>469</v>
      </c>
      <c r="BA24" s="294" t="s">
        <v>469</v>
      </c>
      <c r="BB24" s="207"/>
      <c r="BC24" s="288" t="s">
        <v>469</v>
      </c>
      <c r="BD24" s="292" t="s">
        <v>469</v>
      </c>
      <c r="BE24" s="293" t="s">
        <v>469</v>
      </c>
      <c r="BF24" s="293" t="s">
        <v>469</v>
      </c>
      <c r="BG24" s="293" t="s">
        <v>469</v>
      </c>
      <c r="BH24" s="293" t="s">
        <v>469</v>
      </c>
      <c r="BI24" s="294" t="s">
        <v>469</v>
      </c>
      <c r="BJ24" s="207"/>
      <c r="BK24" s="288" t="s">
        <v>469</v>
      </c>
      <c r="BL24" s="292" t="s">
        <v>469</v>
      </c>
      <c r="BM24" s="293" t="s">
        <v>469</v>
      </c>
      <c r="BN24" s="293" t="s">
        <v>469</v>
      </c>
      <c r="BO24" s="293" t="s">
        <v>469</v>
      </c>
      <c r="BP24" s="293" t="s">
        <v>469</v>
      </c>
      <c r="BQ24" s="294" t="s">
        <v>469</v>
      </c>
      <c r="BR24" s="207"/>
      <c r="BS24" s="288" t="s">
        <v>469</v>
      </c>
      <c r="BT24" s="292" t="s">
        <v>469</v>
      </c>
      <c r="BU24" s="293" t="s">
        <v>469</v>
      </c>
      <c r="BV24" s="293" t="s">
        <v>469</v>
      </c>
      <c r="BW24" s="293" t="s">
        <v>469</v>
      </c>
      <c r="BX24" s="293" t="s">
        <v>469</v>
      </c>
      <c r="BY24" s="294" t="s">
        <v>469</v>
      </c>
      <c r="BZ24" s="207"/>
      <c r="CA24" s="288" t="s">
        <v>469</v>
      </c>
      <c r="CB24" s="292" t="s">
        <v>469</v>
      </c>
      <c r="CC24" s="293" t="s">
        <v>469</v>
      </c>
      <c r="CD24" s="293" t="s">
        <v>469</v>
      </c>
      <c r="CE24" s="293" t="s">
        <v>469</v>
      </c>
      <c r="CF24" s="293" t="s">
        <v>469</v>
      </c>
      <c r="CG24" s="294" t="s">
        <v>469</v>
      </c>
      <c r="CH24" s="207"/>
      <c r="CI24" s="288" t="s">
        <v>469</v>
      </c>
      <c r="CJ24" s="292" t="s">
        <v>469</v>
      </c>
      <c r="CK24" s="293" t="s">
        <v>469</v>
      </c>
      <c r="CL24" s="293" t="s">
        <v>469</v>
      </c>
      <c r="CM24" s="293" t="s">
        <v>469</v>
      </c>
      <c r="CN24" s="293" t="s">
        <v>469</v>
      </c>
      <c r="CO24" s="294" t="s">
        <v>469</v>
      </c>
      <c r="CP24" s="207"/>
      <c r="CQ24" s="277"/>
      <c r="CR24" s="209" t="s">
        <v>469</v>
      </c>
      <c r="CS24" s="207"/>
      <c r="CT24" s="207" t="e">
        <v>#REF!</v>
      </c>
      <c r="CU24" s="278" t="e">
        <v>#REF!</v>
      </c>
    </row>
    <row r="25" spans="2:99" s="315" customFormat="1" ht="15.75" customHeight="1">
      <c r="B25" s="419"/>
      <c r="C25" s="420"/>
      <c r="D25" s="420"/>
      <c r="E25" s="416" t="s">
        <v>334</v>
      </c>
      <c r="F25" s="417">
        <v>1.9964857263576974</v>
      </c>
      <c r="G25" s="418"/>
      <c r="H25" s="421"/>
      <c r="I25" s="318"/>
      <c r="J25" s="314"/>
      <c r="M25" s="209" t="e">
        <v>#REF!</v>
      </c>
      <c r="N25" s="207"/>
      <c r="O25" s="319">
        <v>2100</v>
      </c>
      <c r="P25" s="279" t="s">
        <v>335</v>
      </c>
      <c r="Q25" s="244"/>
      <c r="R25" s="245"/>
      <c r="S25" s="320" t="e">
        <v>#REF!</v>
      </c>
      <c r="T25" s="286">
        <v>1.9964857263576974</v>
      </c>
      <c r="U25" s="287" t="e">
        <v>#REF!</v>
      </c>
      <c r="V25" s="316" t="s">
        <v>291</v>
      </c>
      <c r="W25" s="317" t="s">
        <v>281</v>
      </c>
      <c r="X25" s="271" t="s">
        <v>469</v>
      </c>
      <c r="Y25" s="271" t="s">
        <v>469</v>
      </c>
      <c r="Z25" s="271" t="e">
        <v>#REF!</v>
      </c>
      <c r="AA25" s="271" t="s">
        <v>469</v>
      </c>
      <c r="AB25" s="271" t="s">
        <v>469</v>
      </c>
      <c r="AC25" s="272" t="s">
        <v>469</v>
      </c>
      <c r="AD25" s="207"/>
      <c r="AE25" s="288" t="s">
        <v>469</v>
      </c>
      <c r="AF25" s="292" t="s">
        <v>469</v>
      </c>
      <c r="AG25" s="293" t="s">
        <v>469</v>
      </c>
      <c r="AH25" s="293" t="s">
        <v>469</v>
      </c>
      <c r="AI25" s="293" t="s">
        <v>469</v>
      </c>
      <c r="AJ25" s="293" t="s">
        <v>469</v>
      </c>
      <c r="AK25" s="294" t="s">
        <v>469</v>
      </c>
      <c r="AL25" s="207"/>
      <c r="AM25" s="288" t="s">
        <v>469</v>
      </c>
      <c r="AN25" s="292" t="s">
        <v>469</v>
      </c>
      <c r="AO25" s="293" t="s">
        <v>469</v>
      </c>
      <c r="AP25" s="293" t="s">
        <v>469</v>
      </c>
      <c r="AQ25" s="293" t="s">
        <v>469</v>
      </c>
      <c r="AR25" s="293" t="s">
        <v>469</v>
      </c>
      <c r="AS25" s="294" t="s">
        <v>469</v>
      </c>
      <c r="AT25" s="207"/>
      <c r="AU25" s="288" t="s">
        <v>469</v>
      </c>
      <c r="AV25" s="292" t="s">
        <v>469</v>
      </c>
      <c r="AW25" s="293" t="s">
        <v>469</v>
      </c>
      <c r="AX25" s="293" t="s">
        <v>469</v>
      </c>
      <c r="AY25" s="293" t="s">
        <v>469</v>
      </c>
      <c r="AZ25" s="293" t="s">
        <v>469</v>
      </c>
      <c r="BA25" s="294" t="s">
        <v>469</v>
      </c>
      <c r="BB25" s="207"/>
      <c r="BC25" s="288" t="s">
        <v>469</v>
      </c>
      <c r="BD25" s="292" t="s">
        <v>469</v>
      </c>
      <c r="BE25" s="293" t="s">
        <v>469</v>
      </c>
      <c r="BF25" s="293" t="s">
        <v>469</v>
      </c>
      <c r="BG25" s="293" t="s">
        <v>469</v>
      </c>
      <c r="BH25" s="293" t="s">
        <v>469</v>
      </c>
      <c r="BI25" s="294" t="s">
        <v>469</v>
      </c>
      <c r="BJ25" s="207"/>
      <c r="BK25" s="288" t="s">
        <v>469</v>
      </c>
      <c r="BL25" s="292" t="s">
        <v>469</v>
      </c>
      <c r="BM25" s="293" t="s">
        <v>469</v>
      </c>
      <c r="BN25" s="293" t="s">
        <v>469</v>
      </c>
      <c r="BO25" s="293" t="s">
        <v>469</v>
      </c>
      <c r="BP25" s="293" t="s">
        <v>469</v>
      </c>
      <c r="BQ25" s="294" t="s">
        <v>469</v>
      </c>
      <c r="BR25" s="207"/>
      <c r="BS25" s="288" t="s">
        <v>469</v>
      </c>
      <c r="BT25" s="292" t="s">
        <v>469</v>
      </c>
      <c r="BU25" s="293" t="s">
        <v>469</v>
      </c>
      <c r="BV25" s="293" t="s">
        <v>469</v>
      </c>
      <c r="BW25" s="293" t="s">
        <v>469</v>
      </c>
      <c r="BX25" s="293" t="s">
        <v>469</v>
      </c>
      <c r="BY25" s="294" t="s">
        <v>469</v>
      </c>
      <c r="BZ25" s="207"/>
      <c r="CA25" s="288" t="s">
        <v>469</v>
      </c>
      <c r="CB25" s="292" t="s">
        <v>469</v>
      </c>
      <c r="CC25" s="293" t="s">
        <v>469</v>
      </c>
      <c r="CD25" s="293" t="s">
        <v>469</v>
      </c>
      <c r="CE25" s="293" t="s">
        <v>469</v>
      </c>
      <c r="CF25" s="293" t="s">
        <v>469</v>
      </c>
      <c r="CG25" s="294" t="s">
        <v>469</v>
      </c>
      <c r="CH25" s="207"/>
      <c r="CI25" s="288" t="e">
        <v>#REF!</v>
      </c>
      <c r="CJ25" s="292" t="s">
        <v>469</v>
      </c>
      <c r="CK25" s="293" t="s">
        <v>469</v>
      </c>
      <c r="CL25" s="293" t="e">
        <v>#REF!</v>
      </c>
      <c r="CM25" s="293" t="s">
        <v>469</v>
      </c>
      <c r="CN25" s="293" t="s">
        <v>469</v>
      </c>
      <c r="CO25" s="294" t="s">
        <v>469</v>
      </c>
      <c r="CP25" s="207"/>
      <c r="CQ25" s="295" t="e">
        <v>#REF!</v>
      </c>
      <c r="CR25" s="209" t="e">
        <v>#REF!</v>
      </c>
      <c r="CS25" s="207"/>
      <c r="CT25" s="207"/>
      <c r="CU25" s="207"/>
    </row>
    <row r="26" spans="2:99" s="315" customFormat="1" ht="15.75" customHeight="1">
      <c r="B26" s="403"/>
      <c r="C26" s="415"/>
      <c r="D26" s="422" t="s">
        <v>336</v>
      </c>
      <c r="E26" s="423"/>
      <c r="F26" s="402"/>
      <c r="G26" s="418"/>
      <c r="H26" s="418"/>
      <c r="I26" s="301"/>
      <c r="J26" s="321"/>
      <c r="M26" s="209" t="e">
        <v>#REF!</v>
      </c>
      <c r="N26" s="207"/>
      <c r="O26" s="319">
        <v>2210</v>
      </c>
      <c r="P26" s="279" t="s">
        <v>424</v>
      </c>
      <c r="Q26" s="244"/>
      <c r="R26" s="245"/>
      <c r="S26" s="320" t="e">
        <v>#REF!</v>
      </c>
      <c r="T26" s="286">
        <v>1.9964857263576974</v>
      </c>
      <c r="U26" s="287" t="e">
        <v>#REF!</v>
      </c>
      <c r="V26" s="316" t="s">
        <v>291</v>
      </c>
      <c r="W26" s="317" t="s">
        <v>281</v>
      </c>
      <c r="X26" s="271" t="s">
        <v>469</v>
      </c>
      <c r="Y26" s="271" t="s">
        <v>469</v>
      </c>
      <c r="Z26" s="271" t="e">
        <v>#REF!</v>
      </c>
      <c r="AA26" s="271" t="s">
        <v>469</v>
      </c>
      <c r="AB26" s="271" t="s">
        <v>469</v>
      </c>
      <c r="AC26" s="272" t="s">
        <v>469</v>
      </c>
      <c r="AD26" s="207"/>
      <c r="AE26" s="288" t="s">
        <v>469</v>
      </c>
      <c r="AF26" s="292" t="s">
        <v>469</v>
      </c>
      <c r="AG26" s="293" t="s">
        <v>469</v>
      </c>
      <c r="AH26" s="293" t="s">
        <v>469</v>
      </c>
      <c r="AI26" s="293" t="s">
        <v>469</v>
      </c>
      <c r="AJ26" s="293" t="s">
        <v>469</v>
      </c>
      <c r="AK26" s="294" t="s">
        <v>469</v>
      </c>
      <c r="AL26" s="207"/>
      <c r="AM26" s="288" t="s">
        <v>469</v>
      </c>
      <c r="AN26" s="292" t="s">
        <v>469</v>
      </c>
      <c r="AO26" s="293" t="s">
        <v>469</v>
      </c>
      <c r="AP26" s="293" t="s">
        <v>469</v>
      </c>
      <c r="AQ26" s="293" t="s">
        <v>469</v>
      </c>
      <c r="AR26" s="293" t="s">
        <v>469</v>
      </c>
      <c r="AS26" s="294" t="s">
        <v>469</v>
      </c>
      <c r="AT26" s="207"/>
      <c r="AU26" s="288" t="s">
        <v>469</v>
      </c>
      <c r="AV26" s="292" t="s">
        <v>469</v>
      </c>
      <c r="AW26" s="293" t="s">
        <v>469</v>
      </c>
      <c r="AX26" s="293" t="s">
        <v>469</v>
      </c>
      <c r="AY26" s="293" t="s">
        <v>469</v>
      </c>
      <c r="AZ26" s="293" t="s">
        <v>469</v>
      </c>
      <c r="BA26" s="294" t="s">
        <v>469</v>
      </c>
      <c r="BB26" s="207"/>
      <c r="BC26" s="288" t="s">
        <v>469</v>
      </c>
      <c r="BD26" s="292" t="s">
        <v>469</v>
      </c>
      <c r="BE26" s="293" t="s">
        <v>469</v>
      </c>
      <c r="BF26" s="293" t="s">
        <v>469</v>
      </c>
      <c r="BG26" s="293" t="s">
        <v>469</v>
      </c>
      <c r="BH26" s="293" t="s">
        <v>469</v>
      </c>
      <c r="BI26" s="294" t="s">
        <v>469</v>
      </c>
      <c r="BJ26" s="207"/>
      <c r="BK26" s="288" t="s">
        <v>469</v>
      </c>
      <c r="BL26" s="292" t="s">
        <v>469</v>
      </c>
      <c r="BM26" s="293" t="s">
        <v>469</v>
      </c>
      <c r="BN26" s="293" t="s">
        <v>469</v>
      </c>
      <c r="BO26" s="293" t="s">
        <v>469</v>
      </c>
      <c r="BP26" s="293" t="s">
        <v>469</v>
      </c>
      <c r="BQ26" s="294" t="s">
        <v>469</v>
      </c>
      <c r="BR26" s="207"/>
      <c r="BS26" s="288" t="s">
        <v>469</v>
      </c>
      <c r="BT26" s="292" t="s">
        <v>469</v>
      </c>
      <c r="BU26" s="293" t="s">
        <v>469</v>
      </c>
      <c r="BV26" s="293" t="s">
        <v>469</v>
      </c>
      <c r="BW26" s="293" t="s">
        <v>469</v>
      </c>
      <c r="BX26" s="293" t="s">
        <v>469</v>
      </c>
      <c r="BY26" s="294" t="s">
        <v>469</v>
      </c>
      <c r="BZ26" s="207"/>
      <c r="CA26" s="288" t="s">
        <v>469</v>
      </c>
      <c r="CB26" s="292" t="s">
        <v>469</v>
      </c>
      <c r="CC26" s="293" t="s">
        <v>469</v>
      </c>
      <c r="CD26" s="293" t="s">
        <v>469</v>
      </c>
      <c r="CE26" s="293" t="s">
        <v>469</v>
      </c>
      <c r="CF26" s="293" t="s">
        <v>469</v>
      </c>
      <c r="CG26" s="294" t="s">
        <v>469</v>
      </c>
      <c r="CH26" s="207"/>
      <c r="CI26" s="288" t="e">
        <v>#REF!</v>
      </c>
      <c r="CJ26" s="292" t="s">
        <v>469</v>
      </c>
      <c r="CK26" s="293" t="s">
        <v>469</v>
      </c>
      <c r="CL26" s="293" t="e">
        <v>#REF!</v>
      </c>
      <c r="CM26" s="293" t="s">
        <v>469</v>
      </c>
      <c r="CN26" s="293" t="s">
        <v>469</v>
      </c>
      <c r="CO26" s="294" t="s">
        <v>469</v>
      </c>
      <c r="CP26" s="207"/>
      <c r="CQ26" s="295" t="e">
        <v>#REF!</v>
      </c>
      <c r="CR26" s="209" t="e">
        <v>#REF!</v>
      </c>
      <c r="CS26" s="207"/>
      <c r="CT26" s="207"/>
      <c r="CU26" s="207"/>
    </row>
    <row r="27" spans="2:96" ht="15.75" customHeight="1">
      <c r="B27" s="403"/>
      <c r="C27" s="415"/>
      <c r="D27" s="403" t="s">
        <v>337</v>
      </c>
      <c r="E27" s="402" t="s">
        <v>338</v>
      </c>
      <c r="F27" s="402"/>
      <c r="G27" s="418"/>
      <c r="H27" s="418"/>
      <c r="I27" s="301"/>
      <c r="J27" s="321"/>
      <c r="M27" s="209" t="e">
        <v>#REF!</v>
      </c>
      <c r="O27" s="319"/>
      <c r="P27" s="279" t="s">
        <v>339</v>
      </c>
      <c r="Q27" s="244"/>
      <c r="R27" s="245"/>
      <c r="S27" s="320" t="e">
        <v>#REF!</v>
      </c>
      <c r="T27" s="286">
        <v>1.9964857263576974</v>
      </c>
      <c r="U27" s="287" t="e">
        <v>#REF!</v>
      </c>
      <c r="V27" s="316" t="s">
        <v>291</v>
      </c>
      <c r="W27" s="248" t="s">
        <v>280</v>
      </c>
      <c r="X27" s="271" t="s">
        <v>469</v>
      </c>
      <c r="Y27" s="271" t="e">
        <v>#REF!</v>
      </c>
      <c r="Z27" s="271" t="s">
        <v>469</v>
      </c>
      <c r="AA27" s="271" t="s">
        <v>469</v>
      </c>
      <c r="AB27" s="271" t="s">
        <v>469</v>
      </c>
      <c r="AC27" s="272" t="s">
        <v>469</v>
      </c>
      <c r="AE27" s="288" t="s">
        <v>469</v>
      </c>
      <c r="AF27" s="292" t="s">
        <v>469</v>
      </c>
      <c r="AG27" s="293" t="s">
        <v>469</v>
      </c>
      <c r="AH27" s="293" t="s">
        <v>469</v>
      </c>
      <c r="AI27" s="293" t="s">
        <v>469</v>
      </c>
      <c r="AJ27" s="293" t="s">
        <v>469</v>
      </c>
      <c r="AK27" s="294" t="s">
        <v>469</v>
      </c>
      <c r="AM27" s="288" t="s">
        <v>469</v>
      </c>
      <c r="AN27" s="292" t="s">
        <v>469</v>
      </c>
      <c r="AO27" s="293" t="s">
        <v>469</v>
      </c>
      <c r="AP27" s="293" t="s">
        <v>469</v>
      </c>
      <c r="AQ27" s="293" t="s">
        <v>469</v>
      </c>
      <c r="AR27" s="293" t="s">
        <v>469</v>
      </c>
      <c r="AS27" s="294" t="s">
        <v>469</v>
      </c>
      <c r="AU27" s="288" t="s">
        <v>469</v>
      </c>
      <c r="AV27" s="292" t="s">
        <v>469</v>
      </c>
      <c r="AW27" s="293" t="s">
        <v>469</v>
      </c>
      <c r="AX27" s="293" t="s">
        <v>469</v>
      </c>
      <c r="AY27" s="293" t="s">
        <v>469</v>
      </c>
      <c r="AZ27" s="293" t="s">
        <v>469</v>
      </c>
      <c r="BA27" s="294" t="s">
        <v>469</v>
      </c>
      <c r="BC27" s="288" t="s">
        <v>469</v>
      </c>
      <c r="BD27" s="292" t="s">
        <v>469</v>
      </c>
      <c r="BE27" s="293" t="s">
        <v>469</v>
      </c>
      <c r="BF27" s="293" t="s">
        <v>469</v>
      </c>
      <c r="BG27" s="293" t="s">
        <v>469</v>
      </c>
      <c r="BH27" s="293" t="s">
        <v>469</v>
      </c>
      <c r="BI27" s="294" t="s">
        <v>469</v>
      </c>
      <c r="BK27" s="288" t="s">
        <v>469</v>
      </c>
      <c r="BL27" s="292" t="s">
        <v>469</v>
      </c>
      <c r="BM27" s="293" t="s">
        <v>469</v>
      </c>
      <c r="BN27" s="293" t="s">
        <v>469</v>
      </c>
      <c r="BO27" s="293" t="s">
        <v>469</v>
      </c>
      <c r="BP27" s="293" t="s">
        <v>469</v>
      </c>
      <c r="BQ27" s="294" t="s">
        <v>469</v>
      </c>
      <c r="BS27" s="288" t="s">
        <v>469</v>
      </c>
      <c r="BT27" s="292" t="s">
        <v>469</v>
      </c>
      <c r="BU27" s="293" t="s">
        <v>469</v>
      </c>
      <c r="BV27" s="293" t="s">
        <v>469</v>
      </c>
      <c r="BW27" s="293" t="s">
        <v>469</v>
      </c>
      <c r="BX27" s="293" t="s">
        <v>469</v>
      </c>
      <c r="BY27" s="294" t="s">
        <v>469</v>
      </c>
      <c r="CA27" s="288" t="s">
        <v>469</v>
      </c>
      <c r="CB27" s="292" t="s">
        <v>469</v>
      </c>
      <c r="CC27" s="293" t="s">
        <v>469</v>
      </c>
      <c r="CD27" s="293" t="s">
        <v>469</v>
      </c>
      <c r="CE27" s="293" t="s">
        <v>469</v>
      </c>
      <c r="CF27" s="293" t="s">
        <v>469</v>
      </c>
      <c r="CG27" s="294" t="s">
        <v>469</v>
      </c>
      <c r="CI27" s="288" t="e">
        <v>#REF!</v>
      </c>
      <c r="CJ27" s="292" t="s">
        <v>469</v>
      </c>
      <c r="CK27" s="293" t="e">
        <v>#REF!</v>
      </c>
      <c r="CL27" s="293" t="s">
        <v>469</v>
      </c>
      <c r="CM27" s="293" t="s">
        <v>469</v>
      </c>
      <c r="CN27" s="293" t="s">
        <v>469</v>
      </c>
      <c r="CO27" s="294" t="s">
        <v>469</v>
      </c>
      <c r="CQ27" s="295" t="e">
        <v>#REF!</v>
      </c>
      <c r="CR27" s="209" t="e">
        <v>#REF!</v>
      </c>
    </row>
    <row r="28" spans="2:96" ht="15.75" customHeight="1">
      <c r="B28" s="403" t="s">
        <v>294</v>
      </c>
      <c r="C28" s="415" t="s">
        <v>295</v>
      </c>
      <c r="D28" s="424">
        <v>0</v>
      </c>
      <c r="E28" s="425">
        <v>0</v>
      </c>
      <c r="F28" s="397"/>
      <c r="G28" s="352">
        <v>0.02863743853685974</v>
      </c>
      <c r="H28" s="348">
        <v>11364000</v>
      </c>
      <c r="I28" s="322">
        <v>0</v>
      </c>
      <c r="J28" s="323"/>
      <c r="M28" s="209" t="e">
        <v>#REF!</v>
      </c>
      <c r="O28" s="319"/>
      <c r="P28" s="279" t="s">
        <v>340</v>
      </c>
      <c r="Q28" s="244"/>
      <c r="R28" s="245"/>
      <c r="S28" s="320">
        <v>484221.1055276382</v>
      </c>
      <c r="T28" s="286">
        <v>1.9964857263576974</v>
      </c>
      <c r="U28" s="287">
        <v>966740.525587074</v>
      </c>
      <c r="V28" s="316" t="s">
        <v>291</v>
      </c>
      <c r="W28" s="248" t="s">
        <v>280</v>
      </c>
      <c r="X28" s="271" t="s">
        <v>469</v>
      </c>
      <c r="Y28" s="271" t="e">
        <v>#REF!</v>
      </c>
      <c r="Z28" s="271" t="s">
        <v>469</v>
      </c>
      <c r="AA28" s="271" t="s">
        <v>469</v>
      </c>
      <c r="AB28" s="271" t="s">
        <v>469</v>
      </c>
      <c r="AC28" s="272" t="s">
        <v>469</v>
      </c>
      <c r="AE28" s="288" t="s">
        <v>469</v>
      </c>
      <c r="AF28" s="292" t="s">
        <v>469</v>
      </c>
      <c r="AG28" s="293" t="s">
        <v>469</v>
      </c>
      <c r="AH28" s="293" t="s">
        <v>469</v>
      </c>
      <c r="AI28" s="293" t="s">
        <v>469</v>
      </c>
      <c r="AJ28" s="293" t="s">
        <v>469</v>
      </c>
      <c r="AK28" s="294" t="s">
        <v>469</v>
      </c>
      <c r="AM28" s="288" t="s">
        <v>469</v>
      </c>
      <c r="AN28" s="292" t="s">
        <v>469</v>
      </c>
      <c r="AO28" s="293" t="s">
        <v>469</v>
      </c>
      <c r="AP28" s="293" t="s">
        <v>469</v>
      </c>
      <c r="AQ28" s="293" t="s">
        <v>469</v>
      </c>
      <c r="AR28" s="293" t="s">
        <v>469</v>
      </c>
      <c r="AS28" s="294" t="s">
        <v>469</v>
      </c>
      <c r="AU28" s="288" t="s">
        <v>469</v>
      </c>
      <c r="AV28" s="292" t="s">
        <v>469</v>
      </c>
      <c r="AW28" s="293" t="s">
        <v>469</v>
      </c>
      <c r="AX28" s="293" t="s">
        <v>469</v>
      </c>
      <c r="AY28" s="293" t="s">
        <v>469</v>
      </c>
      <c r="AZ28" s="293" t="s">
        <v>469</v>
      </c>
      <c r="BA28" s="294" t="s">
        <v>469</v>
      </c>
      <c r="BC28" s="288" t="s">
        <v>469</v>
      </c>
      <c r="BD28" s="292" t="s">
        <v>469</v>
      </c>
      <c r="BE28" s="293" t="s">
        <v>469</v>
      </c>
      <c r="BF28" s="293" t="s">
        <v>469</v>
      </c>
      <c r="BG28" s="293" t="s">
        <v>469</v>
      </c>
      <c r="BH28" s="293" t="s">
        <v>469</v>
      </c>
      <c r="BI28" s="294" t="s">
        <v>469</v>
      </c>
      <c r="BK28" s="288" t="s">
        <v>469</v>
      </c>
      <c r="BL28" s="292" t="s">
        <v>469</v>
      </c>
      <c r="BM28" s="293" t="s">
        <v>469</v>
      </c>
      <c r="BN28" s="293" t="s">
        <v>469</v>
      </c>
      <c r="BO28" s="293" t="s">
        <v>469</v>
      </c>
      <c r="BP28" s="293" t="s">
        <v>469</v>
      </c>
      <c r="BQ28" s="294" t="s">
        <v>469</v>
      </c>
      <c r="BS28" s="288" t="s">
        <v>469</v>
      </c>
      <c r="BT28" s="292" t="s">
        <v>469</v>
      </c>
      <c r="BU28" s="293" t="s">
        <v>469</v>
      </c>
      <c r="BV28" s="293" t="s">
        <v>469</v>
      </c>
      <c r="BW28" s="293" t="s">
        <v>469</v>
      </c>
      <c r="BX28" s="293" t="s">
        <v>469</v>
      </c>
      <c r="BY28" s="294" t="s">
        <v>469</v>
      </c>
      <c r="CA28" s="288" t="s">
        <v>469</v>
      </c>
      <c r="CB28" s="292" t="s">
        <v>469</v>
      </c>
      <c r="CC28" s="293" t="s">
        <v>469</v>
      </c>
      <c r="CD28" s="293" t="s">
        <v>469</v>
      </c>
      <c r="CE28" s="293" t="s">
        <v>469</v>
      </c>
      <c r="CF28" s="293" t="s">
        <v>469</v>
      </c>
      <c r="CG28" s="294" t="s">
        <v>469</v>
      </c>
      <c r="CI28" s="288">
        <v>966740.525587074</v>
      </c>
      <c r="CJ28" s="292" t="s">
        <v>469</v>
      </c>
      <c r="CK28" s="293" t="e">
        <v>#REF!</v>
      </c>
      <c r="CL28" s="293" t="s">
        <v>469</v>
      </c>
      <c r="CM28" s="293" t="s">
        <v>469</v>
      </c>
      <c r="CN28" s="293" t="s">
        <v>469</v>
      </c>
      <c r="CO28" s="294" t="s">
        <v>469</v>
      </c>
      <c r="CQ28" s="295" t="e">
        <v>#REF!</v>
      </c>
      <c r="CR28" s="209" t="e">
        <v>#REF!</v>
      </c>
    </row>
    <row r="29" spans="2:96" ht="15.75" customHeight="1">
      <c r="B29" s="403"/>
      <c r="C29" s="415"/>
      <c r="D29" s="403"/>
      <c r="E29" s="425"/>
      <c r="F29" s="415"/>
      <c r="G29" s="401"/>
      <c r="H29" s="426"/>
      <c r="I29" s="324"/>
      <c r="J29" s="325"/>
      <c r="K29" s="210"/>
      <c r="M29" s="209" t="e">
        <v>#REF!</v>
      </c>
      <c r="O29" s="319"/>
      <c r="P29" s="279" t="s">
        <v>341</v>
      </c>
      <c r="Q29" s="244"/>
      <c r="R29" s="245"/>
      <c r="S29" s="320">
        <v>7548750</v>
      </c>
      <c r="T29" s="286">
        <v>1.9964857263576974</v>
      </c>
      <c r="U29" s="287">
        <v>15070971.626842668</v>
      </c>
      <c r="V29" s="316" t="s">
        <v>291</v>
      </c>
      <c r="W29" s="248" t="s">
        <v>280</v>
      </c>
      <c r="X29" s="271" t="s">
        <v>469</v>
      </c>
      <c r="Y29" s="271" t="e">
        <v>#REF!</v>
      </c>
      <c r="Z29" s="271" t="s">
        <v>469</v>
      </c>
      <c r="AA29" s="271" t="s">
        <v>469</v>
      </c>
      <c r="AB29" s="271" t="s">
        <v>469</v>
      </c>
      <c r="AC29" s="272" t="s">
        <v>469</v>
      </c>
      <c r="AE29" s="288" t="s">
        <v>469</v>
      </c>
      <c r="AF29" s="292" t="s">
        <v>469</v>
      </c>
      <c r="AG29" s="293" t="s">
        <v>469</v>
      </c>
      <c r="AH29" s="293" t="s">
        <v>469</v>
      </c>
      <c r="AI29" s="293" t="s">
        <v>469</v>
      </c>
      <c r="AJ29" s="293" t="s">
        <v>469</v>
      </c>
      <c r="AK29" s="294" t="s">
        <v>469</v>
      </c>
      <c r="AM29" s="288" t="s">
        <v>469</v>
      </c>
      <c r="AN29" s="292" t="s">
        <v>469</v>
      </c>
      <c r="AO29" s="293" t="s">
        <v>469</v>
      </c>
      <c r="AP29" s="293" t="s">
        <v>469</v>
      </c>
      <c r="AQ29" s="293" t="s">
        <v>469</v>
      </c>
      <c r="AR29" s="293" t="s">
        <v>469</v>
      </c>
      <c r="AS29" s="294" t="s">
        <v>469</v>
      </c>
      <c r="AU29" s="288" t="s">
        <v>469</v>
      </c>
      <c r="AV29" s="292" t="s">
        <v>469</v>
      </c>
      <c r="AW29" s="293" t="s">
        <v>469</v>
      </c>
      <c r="AX29" s="293" t="s">
        <v>469</v>
      </c>
      <c r="AY29" s="293" t="s">
        <v>469</v>
      </c>
      <c r="AZ29" s="293" t="s">
        <v>469</v>
      </c>
      <c r="BA29" s="294" t="s">
        <v>469</v>
      </c>
      <c r="BC29" s="288" t="s">
        <v>469</v>
      </c>
      <c r="BD29" s="292" t="s">
        <v>469</v>
      </c>
      <c r="BE29" s="293" t="s">
        <v>469</v>
      </c>
      <c r="BF29" s="293" t="s">
        <v>469</v>
      </c>
      <c r="BG29" s="293" t="s">
        <v>469</v>
      </c>
      <c r="BH29" s="293" t="s">
        <v>469</v>
      </c>
      <c r="BI29" s="294" t="s">
        <v>469</v>
      </c>
      <c r="BK29" s="288" t="s">
        <v>469</v>
      </c>
      <c r="BL29" s="292" t="s">
        <v>469</v>
      </c>
      <c r="BM29" s="293" t="s">
        <v>469</v>
      </c>
      <c r="BN29" s="293" t="s">
        <v>469</v>
      </c>
      <c r="BO29" s="293" t="s">
        <v>469</v>
      </c>
      <c r="BP29" s="293" t="s">
        <v>469</v>
      </c>
      <c r="BQ29" s="294" t="s">
        <v>469</v>
      </c>
      <c r="BS29" s="288" t="s">
        <v>469</v>
      </c>
      <c r="BT29" s="292" t="s">
        <v>469</v>
      </c>
      <c r="BU29" s="293" t="s">
        <v>469</v>
      </c>
      <c r="BV29" s="293" t="s">
        <v>469</v>
      </c>
      <c r="BW29" s="293" t="s">
        <v>469</v>
      </c>
      <c r="BX29" s="293" t="s">
        <v>469</v>
      </c>
      <c r="BY29" s="294" t="s">
        <v>469</v>
      </c>
      <c r="CA29" s="288" t="s">
        <v>469</v>
      </c>
      <c r="CB29" s="292" t="s">
        <v>469</v>
      </c>
      <c r="CC29" s="293" t="s">
        <v>469</v>
      </c>
      <c r="CD29" s="293" t="s">
        <v>469</v>
      </c>
      <c r="CE29" s="293" t="s">
        <v>469</v>
      </c>
      <c r="CF29" s="293" t="s">
        <v>469</v>
      </c>
      <c r="CG29" s="294" t="s">
        <v>469</v>
      </c>
      <c r="CI29" s="288">
        <v>15070971.626842668</v>
      </c>
      <c r="CJ29" s="292" t="s">
        <v>469</v>
      </c>
      <c r="CK29" s="293" t="e">
        <v>#REF!</v>
      </c>
      <c r="CL29" s="293" t="s">
        <v>469</v>
      </c>
      <c r="CM29" s="293" t="s">
        <v>469</v>
      </c>
      <c r="CN29" s="293" t="s">
        <v>469</v>
      </c>
      <c r="CO29" s="294" t="s">
        <v>469</v>
      </c>
      <c r="CQ29" s="295" t="e">
        <v>#REF!</v>
      </c>
      <c r="CR29" s="209" t="e">
        <v>#REF!</v>
      </c>
    </row>
    <row r="30" spans="2:96" ht="15.75" customHeight="1">
      <c r="B30" s="403">
        <v>1000</v>
      </c>
      <c r="C30" s="415" t="s">
        <v>315</v>
      </c>
      <c r="D30" s="424">
        <v>0</v>
      </c>
      <c r="E30" s="425">
        <v>0</v>
      </c>
      <c r="F30" s="415"/>
      <c r="G30" s="352">
        <v>0.46110938070153157</v>
      </c>
      <c r="H30" s="348">
        <v>182978900</v>
      </c>
      <c r="I30" s="322">
        <v>0</v>
      </c>
      <c r="J30" s="323"/>
      <c r="K30" s="210"/>
      <c r="M30" s="209" t="e">
        <v>#REF!</v>
      </c>
      <c r="O30" s="319">
        <v>2600</v>
      </c>
      <c r="P30" s="279" t="s">
        <v>342</v>
      </c>
      <c r="Q30" s="244"/>
      <c r="R30" s="245"/>
      <c r="S30" s="320">
        <v>0</v>
      </c>
      <c r="T30" s="286">
        <v>1.9964857263576974</v>
      </c>
      <c r="U30" s="287">
        <v>0</v>
      </c>
      <c r="V30" s="316" t="s">
        <v>291</v>
      </c>
      <c r="W30" s="248" t="s">
        <v>280</v>
      </c>
      <c r="X30" s="271" t="s">
        <v>469</v>
      </c>
      <c r="Y30" s="271" t="e">
        <v>#REF!</v>
      </c>
      <c r="Z30" s="271" t="s">
        <v>469</v>
      </c>
      <c r="AA30" s="271" t="s">
        <v>469</v>
      </c>
      <c r="AB30" s="271" t="s">
        <v>469</v>
      </c>
      <c r="AC30" s="272" t="s">
        <v>469</v>
      </c>
      <c r="AE30" s="288" t="s">
        <v>469</v>
      </c>
      <c r="AF30" s="292" t="s">
        <v>469</v>
      </c>
      <c r="AG30" s="293" t="s">
        <v>469</v>
      </c>
      <c r="AH30" s="293" t="s">
        <v>469</v>
      </c>
      <c r="AI30" s="293" t="s">
        <v>469</v>
      </c>
      <c r="AJ30" s="293" t="s">
        <v>469</v>
      </c>
      <c r="AK30" s="294" t="s">
        <v>469</v>
      </c>
      <c r="AM30" s="288" t="s">
        <v>469</v>
      </c>
      <c r="AN30" s="292" t="s">
        <v>469</v>
      </c>
      <c r="AO30" s="293" t="s">
        <v>469</v>
      </c>
      <c r="AP30" s="293" t="s">
        <v>469</v>
      </c>
      <c r="AQ30" s="293" t="s">
        <v>469</v>
      </c>
      <c r="AR30" s="293" t="s">
        <v>469</v>
      </c>
      <c r="AS30" s="294" t="s">
        <v>469</v>
      </c>
      <c r="AU30" s="288" t="s">
        <v>469</v>
      </c>
      <c r="AV30" s="292" t="s">
        <v>469</v>
      </c>
      <c r="AW30" s="293" t="s">
        <v>469</v>
      </c>
      <c r="AX30" s="293" t="s">
        <v>469</v>
      </c>
      <c r="AY30" s="293" t="s">
        <v>469</v>
      </c>
      <c r="AZ30" s="293" t="s">
        <v>469</v>
      </c>
      <c r="BA30" s="294" t="s">
        <v>469</v>
      </c>
      <c r="BC30" s="288" t="s">
        <v>469</v>
      </c>
      <c r="BD30" s="292" t="s">
        <v>469</v>
      </c>
      <c r="BE30" s="293" t="s">
        <v>469</v>
      </c>
      <c r="BF30" s="293" t="s">
        <v>469</v>
      </c>
      <c r="BG30" s="293" t="s">
        <v>469</v>
      </c>
      <c r="BH30" s="293" t="s">
        <v>469</v>
      </c>
      <c r="BI30" s="294" t="s">
        <v>469</v>
      </c>
      <c r="BK30" s="288" t="s">
        <v>469</v>
      </c>
      <c r="BL30" s="292" t="s">
        <v>469</v>
      </c>
      <c r="BM30" s="293" t="s">
        <v>469</v>
      </c>
      <c r="BN30" s="293" t="s">
        <v>469</v>
      </c>
      <c r="BO30" s="293" t="s">
        <v>469</v>
      </c>
      <c r="BP30" s="293" t="s">
        <v>469</v>
      </c>
      <c r="BQ30" s="294" t="s">
        <v>469</v>
      </c>
      <c r="BS30" s="288" t="s">
        <v>469</v>
      </c>
      <c r="BT30" s="292" t="s">
        <v>469</v>
      </c>
      <c r="BU30" s="293" t="s">
        <v>469</v>
      </c>
      <c r="BV30" s="293" t="s">
        <v>469</v>
      </c>
      <c r="BW30" s="293" t="s">
        <v>469</v>
      </c>
      <c r="BX30" s="293" t="s">
        <v>469</v>
      </c>
      <c r="BY30" s="294" t="s">
        <v>469</v>
      </c>
      <c r="CA30" s="288" t="s">
        <v>469</v>
      </c>
      <c r="CB30" s="292" t="s">
        <v>469</v>
      </c>
      <c r="CC30" s="293" t="s">
        <v>469</v>
      </c>
      <c r="CD30" s="293" t="s">
        <v>469</v>
      </c>
      <c r="CE30" s="293" t="s">
        <v>469</v>
      </c>
      <c r="CF30" s="293" t="s">
        <v>469</v>
      </c>
      <c r="CG30" s="294" t="s">
        <v>469</v>
      </c>
      <c r="CI30" s="288">
        <v>0</v>
      </c>
      <c r="CJ30" s="292" t="s">
        <v>469</v>
      </c>
      <c r="CK30" s="293" t="e">
        <v>#REF!</v>
      </c>
      <c r="CL30" s="293" t="s">
        <v>469</v>
      </c>
      <c r="CM30" s="293" t="s">
        <v>469</v>
      </c>
      <c r="CN30" s="293" t="s">
        <v>469</v>
      </c>
      <c r="CO30" s="294" t="s">
        <v>469</v>
      </c>
      <c r="CQ30" s="295" t="e">
        <v>#REF!</v>
      </c>
      <c r="CR30" s="209" t="e">
        <v>#REF!</v>
      </c>
    </row>
    <row r="31" spans="2:96" ht="15.75" customHeight="1">
      <c r="B31" s="403"/>
      <c r="C31" s="415"/>
      <c r="D31" s="403"/>
      <c r="E31" s="425"/>
      <c r="F31" s="415"/>
      <c r="G31" s="401"/>
      <c r="H31" s="426"/>
      <c r="I31" s="324"/>
      <c r="J31" s="326"/>
      <c r="K31" s="210"/>
      <c r="M31" s="209" t="e">
        <v>#REF!</v>
      </c>
      <c r="O31" s="319">
        <v>2400</v>
      </c>
      <c r="P31" s="279" t="s">
        <v>343</v>
      </c>
      <c r="Q31" s="244"/>
      <c r="R31" s="245"/>
      <c r="S31" s="320">
        <v>0</v>
      </c>
      <c r="T31" s="286">
        <v>1.9964857263576974</v>
      </c>
      <c r="U31" s="287">
        <v>0</v>
      </c>
      <c r="V31" s="316" t="s">
        <v>291</v>
      </c>
      <c r="W31" s="248" t="s">
        <v>281</v>
      </c>
      <c r="X31" s="271" t="s">
        <v>469</v>
      </c>
      <c r="Y31" s="271" t="s">
        <v>469</v>
      </c>
      <c r="Z31" s="271" t="e">
        <v>#REF!</v>
      </c>
      <c r="AA31" s="271" t="s">
        <v>469</v>
      </c>
      <c r="AB31" s="271" t="s">
        <v>469</v>
      </c>
      <c r="AC31" s="272" t="s">
        <v>469</v>
      </c>
      <c r="AE31" s="288" t="s">
        <v>469</v>
      </c>
      <c r="AF31" s="292" t="s">
        <v>469</v>
      </c>
      <c r="AG31" s="293" t="s">
        <v>469</v>
      </c>
      <c r="AH31" s="293" t="s">
        <v>469</v>
      </c>
      <c r="AI31" s="293" t="s">
        <v>469</v>
      </c>
      <c r="AJ31" s="293" t="s">
        <v>469</v>
      </c>
      <c r="AK31" s="294" t="s">
        <v>469</v>
      </c>
      <c r="AM31" s="288" t="s">
        <v>469</v>
      </c>
      <c r="AN31" s="292" t="s">
        <v>469</v>
      </c>
      <c r="AO31" s="293" t="s">
        <v>469</v>
      </c>
      <c r="AP31" s="293" t="s">
        <v>469</v>
      </c>
      <c r="AQ31" s="293" t="s">
        <v>469</v>
      </c>
      <c r="AR31" s="293" t="s">
        <v>469</v>
      </c>
      <c r="AS31" s="294" t="s">
        <v>469</v>
      </c>
      <c r="AU31" s="288" t="s">
        <v>469</v>
      </c>
      <c r="AV31" s="292" t="s">
        <v>469</v>
      </c>
      <c r="AW31" s="293" t="s">
        <v>469</v>
      </c>
      <c r="AX31" s="293" t="s">
        <v>469</v>
      </c>
      <c r="AY31" s="293" t="s">
        <v>469</v>
      </c>
      <c r="AZ31" s="293" t="s">
        <v>469</v>
      </c>
      <c r="BA31" s="294" t="s">
        <v>469</v>
      </c>
      <c r="BC31" s="288" t="s">
        <v>469</v>
      </c>
      <c r="BD31" s="292" t="s">
        <v>469</v>
      </c>
      <c r="BE31" s="293" t="s">
        <v>469</v>
      </c>
      <c r="BF31" s="293" t="s">
        <v>469</v>
      </c>
      <c r="BG31" s="293" t="s">
        <v>469</v>
      </c>
      <c r="BH31" s="293" t="s">
        <v>469</v>
      </c>
      <c r="BI31" s="294" t="s">
        <v>469</v>
      </c>
      <c r="BK31" s="288" t="s">
        <v>469</v>
      </c>
      <c r="BL31" s="292" t="s">
        <v>469</v>
      </c>
      <c r="BM31" s="293" t="s">
        <v>469</v>
      </c>
      <c r="BN31" s="293" t="s">
        <v>469</v>
      </c>
      <c r="BO31" s="293" t="s">
        <v>469</v>
      </c>
      <c r="BP31" s="293" t="s">
        <v>469</v>
      </c>
      <c r="BQ31" s="294" t="s">
        <v>469</v>
      </c>
      <c r="BS31" s="288" t="s">
        <v>469</v>
      </c>
      <c r="BT31" s="292" t="s">
        <v>469</v>
      </c>
      <c r="BU31" s="293" t="s">
        <v>469</v>
      </c>
      <c r="BV31" s="293" t="s">
        <v>469</v>
      </c>
      <c r="BW31" s="293" t="s">
        <v>469</v>
      </c>
      <c r="BX31" s="293" t="s">
        <v>469</v>
      </c>
      <c r="BY31" s="294" t="s">
        <v>469</v>
      </c>
      <c r="CA31" s="288" t="s">
        <v>469</v>
      </c>
      <c r="CB31" s="292" t="s">
        <v>469</v>
      </c>
      <c r="CC31" s="293" t="s">
        <v>469</v>
      </c>
      <c r="CD31" s="293" t="s">
        <v>469</v>
      </c>
      <c r="CE31" s="293" t="s">
        <v>469</v>
      </c>
      <c r="CF31" s="293" t="s">
        <v>469</v>
      </c>
      <c r="CG31" s="294" t="s">
        <v>469</v>
      </c>
      <c r="CI31" s="288">
        <v>0</v>
      </c>
      <c r="CJ31" s="292" t="s">
        <v>469</v>
      </c>
      <c r="CK31" s="293" t="s">
        <v>469</v>
      </c>
      <c r="CL31" s="293" t="e">
        <v>#REF!</v>
      </c>
      <c r="CM31" s="293" t="s">
        <v>469</v>
      </c>
      <c r="CN31" s="293" t="s">
        <v>469</v>
      </c>
      <c r="CO31" s="294" t="s">
        <v>469</v>
      </c>
      <c r="CQ31" s="295" t="e">
        <v>#REF!</v>
      </c>
      <c r="CR31" s="209" t="e">
        <v>#REF!</v>
      </c>
    </row>
    <row r="32" spans="2:96" ht="15.75" customHeight="1">
      <c r="B32" s="403">
        <v>2000</v>
      </c>
      <c r="C32" s="415" t="s">
        <v>333</v>
      </c>
      <c r="D32" s="424">
        <v>0.06</v>
      </c>
      <c r="E32" s="425">
        <v>0</v>
      </c>
      <c r="F32" s="415">
        <v>0.2915753424657534</v>
      </c>
      <c r="G32" s="352">
        <v>0.032183098165631446</v>
      </c>
      <c r="H32" s="348">
        <v>12771000</v>
      </c>
      <c r="I32" s="322">
        <v>0</v>
      </c>
      <c r="J32" s="326"/>
      <c r="K32" s="210"/>
      <c r="M32" s="209"/>
      <c r="O32" s="319"/>
      <c r="P32" s="279"/>
      <c r="Q32" s="244"/>
      <c r="R32" s="245"/>
      <c r="S32" s="320"/>
      <c r="T32" s="327"/>
      <c r="U32" s="328"/>
      <c r="W32" s="248"/>
      <c r="X32" s="271" t="s">
        <v>469</v>
      </c>
      <c r="Y32" s="271" t="s">
        <v>469</v>
      </c>
      <c r="Z32" s="271" t="s">
        <v>469</v>
      </c>
      <c r="AA32" s="271" t="s">
        <v>469</v>
      </c>
      <c r="AB32" s="271" t="s">
        <v>469</v>
      </c>
      <c r="AC32" s="272" t="s">
        <v>469</v>
      </c>
      <c r="AE32" s="288" t="s">
        <v>469</v>
      </c>
      <c r="AF32" s="292" t="s">
        <v>469</v>
      </c>
      <c r="AG32" s="293" t="s">
        <v>469</v>
      </c>
      <c r="AH32" s="293" t="s">
        <v>469</v>
      </c>
      <c r="AI32" s="293" t="s">
        <v>469</v>
      </c>
      <c r="AJ32" s="293" t="s">
        <v>469</v>
      </c>
      <c r="AK32" s="294" t="s">
        <v>469</v>
      </c>
      <c r="AM32" s="288" t="s">
        <v>469</v>
      </c>
      <c r="AN32" s="292" t="s">
        <v>469</v>
      </c>
      <c r="AO32" s="293" t="s">
        <v>469</v>
      </c>
      <c r="AP32" s="293" t="s">
        <v>469</v>
      </c>
      <c r="AQ32" s="293" t="s">
        <v>469</v>
      </c>
      <c r="AR32" s="293" t="s">
        <v>469</v>
      </c>
      <c r="AS32" s="294" t="s">
        <v>469</v>
      </c>
      <c r="AU32" s="288" t="s">
        <v>469</v>
      </c>
      <c r="AV32" s="292" t="s">
        <v>469</v>
      </c>
      <c r="AW32" s="293" t="s">
        <v>469</v>
      </c>
      <c r="AX32" s="293" t="s">
        <v>469</v>
      </c>
      <c r="AY32" s="293" t="s">
        <v>469</v>
      </c>
      <c r="AZ32" s="293" t="s">
        <v>469</v>
      </c>
      <c r="BA32" s="294" t="s">
        <v>469</v>
      </c>
      <c r="BC32" s="288" t="s">
        <v>469</v>
      </c>
      <c r="BD32" s="292" t="s">
        <v>469</v>
      </c>
      <c r="BE32" s="293" t="s">
        <v>469</v>
      </c>
      <c r="BF32" s="293" t="s">
        <v>469</v>
      </c>
      <c r="BG32" s="293" t="s">
        <v>469</v>
      </c>
      <c r="BH32" s="293" t="s">
        <v>469</v>
      </c>
      <c r="BI32" s="294" t="s">
        <v>469</v>
      </c>
      <c r="BK32" s="288" t="s">
        <v>469</v>
      </c>
      <c r="BL32" s="292" t="s">
        <v>469</v>
      </c>
      <c r="BM32" s="293" t="s">
        <v>469</v>
      </c>
      <c r="BN32" s="293" t="s">
        <v>469</v>
      </c>
      <c r="BO32" s="293" t="s">
        <v>469</v>
      </c>
      <c r="BP32" s="293" t="s">
        <v>469</v>
      </c>
      <c r="BQ32" s="294" t="s">
        <v>469</v>
      </c>
      <c r="BS32" s="288" t="s">
        <v>469</v>
      </c>
      <c r="BT32" s="292" t="s">
        <v>469</v>
      </c>
      <c r="BU32" s="293" t="s">
        <v>469</v>
      </c>
      <c r="BV32" s="293" t="s">
        <v>469</v>
      </c>
      <c r="BW32" s="293" t="s">
        <v>469</v>
      </c>
      <c r="BX32" s="293" t="s">
        <v>469</v>
      </c>
      <c r="BY32" s="294" t="s">
        <v>469</v>
      </c>
      <c r="CA32" s="288" t="s">
        <v>469</v>
      </c>
      <c r="CB32" s="292" t="s">
        <v>469</v>
      </c>
      <c r="CC32" s="293" t="s">
        <v>469</v>
      </c>
      <c r="CD32" s="293" t="s">
        <v>469</v>
      </c>
      <c r="CE32" s="293" t="s">
        <v>469</v>
      </c>
      <c r="CF32" s="293" t="s">
        <v>469</v>
      </c>
      <c r="CG32" s="294" t="s">
        <v>469</v>
      </c>
      <c r="CI32" s="288" t="s">
        <v>469</v>
      </c>
      <c r="CJ32" s="292" t="s">
        <v>469</v>
      </c>
      <c r="CK32" s="293" t="s">
        <v>469</v>
      </c>
      <c r="CL32" s="293" t="s">
        <v>469</v>
      </c>
      <c r="CM32" s="293" t="s">
        <v>469</v>
      </c>
      <c r="CN32" s="293" t="s">
        <v>469</v>
      </c>
      <c r="CO32" s="294" t="s">
        <v>469</v>
      </c>
      <c r="CQ32" s="295"/>
      <c r="CR32" s="209" t="s">
        <v>469</v>
      </c>
    </row>
    <row r="33" spans="2:99" ht="15.75" customHeight="1">
      <c r="B33" s="403"/>
      <c r="C33" s="415"/>
      <c r="D33" s="403"/>
      <c r="E33" s="425"/>
      <c r="F33" s="415"/>
      <c r="G33" s="352"/>
      <c r="H33" s="426"/>
      <c r="I33" s="324"/>
      <c r="J33" s="309"/>
      <c r="K33" s="210"/>
      <c r="M33" s="263" t="e">
        <v>#REF!</v>
      </c>
      <c r="N33" s="207" t="s">
        <v>470</v>
      </c>
      <c r="O33" s="264">
        <v>3000</v>
      </c>
      <c r="P33" s="302" t="s">
        <v>344</v>
      </c>
      <c r="Q33" s="244"/>
      <c r="R33" s="267"/>
      <c r="S33" s="268">
        <v>12689000</v>
      </c>
      <c r="T33" s="268"/>
      <c r="U33" s="269">
        <v>14146042.363433667</v>
      </c>
      <c r="W33" s="248"/>
      <c r="X33" s="271" t="s">
        <v>469</v>
      </c>
      <c r="Y33" s="271" t="s">
        <v>469</v>
      </c>
      <c r="Z33" s="271" t="s">
        <v>469</v>
      </c>
      <c r="AA33" s="271" t="s">
        <v>469</v>
      </c>
      <c r="AB33" s="271" t="s">
        <v>469</v>
      </c>
      <c r="AC33" s="272" t="s">
        <v>469</v>
      </c>
      <c r="AE33" s="288" t="s">
        <v>469</v>
      </c>
      <c r="AF33" s="292" t="s">
        <v>469</v>
      </c>
      <c r="AG33" s="293" t="s">
        <v>469</v>
      </c>
      <c r="AH33" s="293" t="s">
        <v>469</v>
      </c>
      <c r="AI33" s="293" t="s">
        <v>469</v>
      </c>
      <c r="AJ33" s="293" t="s">
        <v>469</v>
      </c>
      <c r="AK33" s="294" t="s">
        <v>469</v>
      </c>
      <c r="AM33" s="288" t="s">
        <v>469</v>
      </c>
      <c r="AN33" s="292" t="s">
        <v>469</v>
      </c>
      <c r="AO33" s="293" t="s">
        <v>469</v>
      </c>
      <c r="AP33" s="293" t="s">
        <v>469</v>
      </c>
      <c r="AQ33" s="293" t="s">
        <v>469</v>
      </c>
      <c r="AR33" s="293" t="s">
        <v>469</v>
      </c>
      <c r="AS33" s="294" t="s">
        <v>469</v>
      </c>
      <c r="AU33" s="288" t="s">
        <v>469</v>
      </c>
      <c r="AV33" s="292" t="s">
        <v>469</v>
      </c>
      <c r="AW33" s="293" t="s">
        <v>469</v>
      </c>
      <c r="AX33" s="293" t="s">
        <v>469</v>
      </c>
      <c r="AY33" s="293" t="s">
        <v>469</v>
      </c>
      <c r="AZ33" s="293" t="s">
        <v>469</v>
      </c>
      <c r="BA33" s="294" t="s">
        <v>469</v>
      </c>
      <c r="BC33" s="288" t="s">
        <v>469</v>
      </c>
      <c r="BD33" s="292" t="s">
        <v>469</v>
      </c>
      <c r="BE33" s="293" t="s">
        <v>469</v>
      </c>
      <c r="BF33" s="293" t="s">
        <v>469</v>
      </c>
      <c r="BG33" s="293" t="s">
        <v>469</v>
      </c>
      <c r="BH33" s="293" t="s">
        <v>469</v>
      </c>
      <c r="BI33" s="294" t="s">
        <v>469</v>
      </c>
      <c r="BK33" s="288" t="s">
        <v>469</v>
      </c>
      <c r="BL33" s="292" t="s">
        <v>469</v>
      </c>
      <c r="BM33" s="293" t="s">
        <v>469</v>
      </c>
      <c r="BN33" s="293" t="s">
        <v>469</v>
      </c>
      <c r="BO33" s="293" t="s">
        <v>469</v>
      </c>
      <c r="BP33" s="293" t="s">
        <v>469</v>
      </c>
      <c r="BQ33" s="294" t="s">
        <v>469</v>
      </c>
      <c r="BS33" s="288" t="s">
        <v>469</v>
      </c>
      <c r="BT33" s="292" t="s">
        <v>469</v>
      </c>
      <c r="BU33" s="293" t="s">
        <v>469</v>
      </c>
      <c r="BV33" s="293" t="s">
        <v>469</v>
      </c>
      <c r="BW33" s="293" t="s">
        <v>469</v>
      </c>
      <c r="BX33" s="293" t="s">
        <v>469</v>
      </c>
      <c r="BY33" s="294" t="s">
        <v>469</v>
      </c>
      <c r="CA33" s="288" t="s">
        <v>469</v>
      </c>
      <c r="CB33" s="292" t="s">
        <v>469</v>
      </c>
      <c r="CC33" s="293" t="s">
        <v>469</v>
      </c>
      <c r="CD33" s="293" t="s">
        <v>469</v>
      </c>
      <c r="CE33" s="293" t="s">
        <v>469</v>
      </c>
      <c r="CF33" s="293" t="s">
        <v>469</v>
      </c>
      <c r="CG33" s="294" t="s">
        <v>469</v>
      </c>
      <c r="CI33" s="288" t="s">
        <v>469</v>
      </c>
      <c r="CJ33" s="292" t="s">
        <v>469</v>
      </c>
      <c r="CK33" s="293" t="s">
        <v>469</v>
      </c>
      <c r="CL33" s="293" t="s">
        <v>469</v>
      </c>
      <c r="CM33" s="293" t="s">
        <v>469</v>
      </c>
      <c r="CN33" s="293" t="s">
        <v>469</v>
      </c>
      <c r="CO33" s="294" t="s">
        <v>469</v>
      </c>
      <c r="CQ33" s="277"/>
      <c r="CR33" s="209" t="s">
        <v>469</v>
      </c>
      <c r="CT33" s="207" t="s">
        <v>468</v>
      </c>
      <c r="CU33" s="278">
        <v>20669000</v>
      </c>
    </row>
    <row r="34" spans="2:96" ht="15.75" customHeight="1">
      <c r="B34" s="403">
        <v>3000</v>
      </c>
      <c r="C34" s="415" t="s">
        <v>256</v>
      </c>
      <c r="D34" s="424">
        <v>0.05</v>
      </c>
      <c r="E34" s="425">
        <v>0</v>
      </c>
      <c r="F34" s="415"/>
      <c r="G34" s="352">
        <v>0.04428420515735975</v>
      </c>
      <c r="H34" s="348">
        <v>17573000</v>
      </c>
      <c r="I34" s="322">
        <v>0</v>
      </c>
      <c r="J34" s="326"/>
      <c r="K34" s="210"/>
      <c r="M34" s="209" t="e">
        <v>#REF!</v>
      </c>
      <c r="O34" s="264">
        <v>3000</v>
      </c>
      <c r="P34" s="302" t="s">
        <v>345</v>
      </c>
      <c r="Q34" s="244"/>
      <c r="R34" s="245"/>
      <c r="S34" s="285">
        <v>0</v>
      </c>
      <c r="T34" s="286">
        <v>1.1148272017837235</v>
      </c>
      <c r="U34" s="287">
        <v>0</v>
      </c>
      <c r="V34" s="208" t="s">
        <v>286</v>
      </c>
      <c r="W34" s="248" t="s">
        <v>280</v>
      </c>
      <c r="X34" s="271" t="s">
        <v>469</v>
      </c>
      <c r="Y34" s="271" t="e">
        <v>#REF!</v>
      </c>
      <c r="Z34" s="271" t="s">
        <v>469</v>
      </c>
      <c r="AA34" s="271" t="s">
        <v>469</v>
      </c>
      <c r="AB34" s="271" t="s">
        <v>469</v>
      </c>
      <c r="AC34" s="272" t="s">
        <v>469</v>
      </c>
      <c r="AE34" s="288" t="s">
        <v>469</v>
      </c>
      <c r="AF34" s="292" t="s">
        <v>469</v>
      </c>
      <c r="AG34" s="293" t="s">
        <v>469</v>
      </c>
      <c r="AH34" s="293" t="s">
        <v>469</v>
      </c>
      <c r="AI34" s="293" t="s">
        <v>469</v>
      </c>
      <c r="AJ34" s="293" t="s">
        <v>469</v>
      </c>
      <c r="AK34" s="294" t="s">
        <v>469</v>
      </c>
      <c r="AM34" s="288" t="s">
        <v>469</v>
      </c>
      <c r="AN34" s="292" t="s">
        <v>469</v>
      </c>
      <c r="AO34" s="293" t="s">
        <v>469</v>
      </c>
      <c r="AP34" s="293" t="s">
        <v>469</v>
      </c>
      <c r="AQ34" s="293" t="s">
        <v>469</v>
      </c>
      <c r="AR34" s="293" t="s">
        <v>469</v>
      </c>
      <c r="AS34" s="294" t="s">
        <v>469</v>
      </c>
      <c r="AU34" s="288">
        <v>0</v>
      </c>
      <c r="AV34" s="292" t="s">
        <v>469</v>
      </c>
      <c r="AW34" s="293" t="e">
        <v>#REF!</v>
      </c>
      <c r="AX34" s="293" t="s">
        <v>469</v>
      </c>
      <c r="AY34" s="293" t="s">
        <v>469</v>
      </c>
      <c r="AZ34" s="293" t="s">
        <v>469</v>
      </c>
      <c r="BA34" s="294" t="s">
        <v>469</v>
      </c>
      <c r="BC34" s="288" t="s">
        <v>469</v>
      </c>
      <c r="BD34" s="292" t="s">
        <v>469</v>
      </c>
      <c r="BE34" s="293" t="s">
        <v>469</v>
      </c>
      <c r="BF34" s="293" t="s">
        <v>469</v>
      </c>
      <c r="BG34" s="293" t="s">
        <v>469</v>
      </c>
      <c r="BH34" s="293" t="s">
        <v>469</v>
      </c>
      <c r="BI34" s="294" t="s">
        <v>469</v>
      </c>
      <c r="BK34" s="288" t="s">
        <v>469</v>
      </c>
      <c r="BL34" s="292" t="s">
        <v>469</v>
      </c>
      <c r="BM34" s="293" t="s">
        <v>469</v>
      </c>
      <c r="BN34" s="293" t="s">
        <v>469</v>
      </c>
      <c r="BO34" s="293" t="s">
        <v>469</v>
      </c>
      <c r="BP34" s="293" t="s">
        <v>469</v>
      </c>
      <c r="BQ34" s="294" t="s">
        <v>469</v>
      </c>
      <c r="BS34" s="288" t="s">
        <v>469</v>
      </c>
      <c r="BT34" s="292" t="s">
        <v>469</v>
      </c>
      <c r="BU34" s="293" t="s">
        <v>469</v>
      </c>
      <c r="BV34" s="293" t="s">
        <v>469</v>
      </c>
      <c r="BW34" s="293" t="s">
        <v>469</v>
      </c>
      <c r="BX34" s="293" t="s">
        <v>469</v>
      </c>
      <c r="BY34" s="294" t="s">
        <v>469</v>
      </c>
      <c r="CA34" s="288" t="s">
        <v>469</v>
      </c>
      <c r="CB34" s="292" t="s">
        <v>469</v>
      </c>
      <c r="CC34" s="293" t="s">
        <v>469</v>
      </c>
      <c r="CD34" s="293" t="s">
        <v>469</v>
      </c>
      <c r="CE34" s="293" t="s">
        <v>469</v>
      </c>
      <c r="CF34" s="293" t="s">
        <v>469</v>
      </c>
      <c r="CG34" s="294" t="s">
        <v>469</v>
      </c>
      <c r="CI34" s="288" t="s">
        <v>469</v>
      </c>
      <c r="CJ34" s="292" t="s">
        <v>469</v>
      </c>
      <c r="CK34" s="293" t="s">
        <v>469</v>
      </c>
      <c r="CL34" s="293" t="s">
        <v>469</v>
      </c>
      <c r="CM34" s="293" t="s">
        <v>469</v>
      </c>
      <c r="CN34" s="293" t="s">
        <v>469</v>
      </c>
      <c r="CO34" s="294" t="s">
        <v>469</v>
      </c>
      <c r="CQ34" s="295" t="e">
        <v>#REF!</v>
      </c>
      <c r="CR34" s="209" t="e">
        <v>#REF!</v>
      </c>
    </row>
    <row r="35" spans="2:96" ht="15.75" customHeight="1">
      <c r="B35" s="403"/>
      <c r="C35" s="415"/>
      <c r="D35" s="424"/>
      <c r="E35" s="425"/>
      <c r="F35" s="415"/>
      <c r="G35" s="352"/>
      <c r="H35" s="348"/>
      <c r="I35" s="322"/>
      <c r="J35" s="326"/>
      <c r="K35" s="210"/>
      <c r="M35" s="209"/>
      <c r="O35" s="264"/>
      <c r="P35" s="302"/>
      <c r="Q35" s="244"/>
      <c r="R35" s="245"/>
      <c r="S35" s="285"/>
      <c r="T35" s="286"/>
      <c r="U35" s="287"/>
      <c r="W35" s="248"/>
      <c r="X35" s="271"/>
      <c r="Y35" s="271"/>
      <c r="Z35" s="271"/>
      <c r="AA35" s="271"/>
      <c r="AB35" s="271"/>
      <c r="AC35" s="272"/>
      <c r="AE35" s="288"/>
      <c r="AF35" s="292"/>
      <c r="AG35" s="293"/>
      <c r="AH35" s="293"/>
      <c r="AI35" s="293"/>
      <c r="AJ35" s="293"/>
      <c r="AK35" s="294"/>
      <c r="AM35" s="288"/>
      <c r="AN35" s="292"/>
      <c r="AO35" s="293"/>
      <c r="AP35" s="293"/>
      <c r="AQ35" s="293"/>
      <c r="AR35" s="293"/>
      <c r="AS35" s="294"/>
      <c r="AU35" s="288"/>
      <c r="AV35" s="292"/>
      <c r="AW35" s="293"/>
      <c r="AX35" s="293"/>
      <c r="AY35" s="293"/>
      <c r="AZ35" s="293"/>
      <c r="BA35" s="294"/>
      <c r="BC35" s="288"/>
      <c r="BD35" s="292"/>
      <c r="BE35" s="293"/>
      <c r="BF35" s="293"/>
      <c r="BG35" s="293"/>
      <c r="BH35" s="293"/>
      <c r="BI35" s="294"/>
      <c r="BK35" s="288"/>
      <c r="BL35" s="292"/>
      <c r="BM35" s="293"/>
      <c r="BN35" s="293"/>
      <c r="BO35" s="293"/>
      <c r="BP35" s="293"/>
      <c r="BQ35" s="294"/>
      <c r="BS35" s="288"/>
      <c r="BT35" s="292"/>
      <c r="BU35" s="293"/>
      <c r="BV35" s="293"/>
      <c r="BW35" s="293"/>
      <c r="BX35" s="293"/>
      <c r="BY35" s="294"/>
      <c r="CA35" s="288"/>
      <c r="CB35" s="292"/>
      <c r="CC35" s="293"/>
      <c r="CD35" s="293"/>
      <c r="CE35" s="293"/>
      <c r="CF35" s="293"/>
      <c r="CG35" s="294"/>
      <c r="CI35" s="288"/>
      <c r="CJ35" s="292"/>
      <c r="CK35" s="293"/>
      <c r="CL35" s="293"/>
      <c r="CM35" s="293"/>
      <c r="CN35" s="293"/>
      <c r="CO35" s="294"/>
      <c r="CQ35" s="295"/>
      <c r="CR35" s="209"/>
    </row>
    <row r="36" spans="2:96" ht="15.75" customHeight="1">
      <c r="B36" s="403">
        <v>3000</v>
      </c>
      <c r="C36" s="415" t="s">
        <v>344</v>
      </c>
      <c r="D36" s="424">
        <v>0.05</v>
      </c>
      <c r="E36" s="425">
        <v>0</v>
      </c>
      <c r="F36" s="415">
        <v>0.33536529680365296</v>
      </c>
      <c r="G36" s="352">
        <v>0.03701648492326053</v>
      </c>
      <c r="H36" s="348">
        <v>14689000</v>
      </c>
      <c r="I36" s="322">
        <v>0</v>
      </c>
      <c r="J36" s="326"/>
      <c r="K36" s="210"/>
      <c r="M36" s="209" t="e">
        <v>#REF!</v>
      </c>
      <c r="O36" s="264">
        <v>3000</v>
      </c>
      <c r="P36" s="302" t="s">
        <v>345</v>
      </c>
      <c r="Q36" s="244"/>
      <c r="R36" s="245"/>
      <c r="S36" s="285">
        <v>35000</v>
      </c>
      <c r="T36" s="286">
        <v>1.1148272017837235</v>
      </c>
      <c r="U36" s="287">
        <v>39018.952062430326</v>
      </c>
      <c r="V36" s="208" t="s">
        <v>286</v>
      </c>
      <c r="W36" s="248" t="s">
        <v>280</v>
      </c>
      <c r="X36" s="271" t="s">
        <v>469</v>
      </c>
      <c r="Y36" s="271" t="e">
        <v>#REF!</v>
      </c>
      <c r="Z36" s="271" t="s">
        <v>469</v>
      </c>
      <c r="AA36" s="271" t="s">
        <v>469</v>
      </c>
      <c r="AB36" s="271" t="s">
        <v>469</v>
      </c>
      <c r="AC36" s="272" t="s">
        <v>469</v>
      </c>
      <c r="AE36" s="288" t="s">
        <v>469</v>
      </c>
      <c r="AF36" s="292" t="s">
        <v>469</v>
      </c>
      <c r="AG36" s="293" t="s">
        <v>469</v>
      </c>
      <c r="AH36" s="293" t="s">
        <v>469</v>
      </c>
      <c r="AI36" s="293" t="s">
        <v>469</v>
      </c>
      <c r="AJ36" s="293" t="s">
        <v>469</v>
      </c>
      <c r="AK36" s="294" t="s">
        <v>469</v>
      </c>
      <c r="AM36" s="288" t="s">
        <v>469</v>
      </c>
      <c r="AN36" s="292" t="s">
        <v>469</v>
      </c>
      <c r="AO36" s="293" t="s">
        <v>469</v>
      </c>
      <c r="AP36" s="293" t="s">
        <v>469</v>
      </c>
      <c r="AQ36" s="293" t="s">
        <v>469</v>
      </c>
      <c r="AR36" s="293" t="s">
        <v>469</v>
      </c>
      <c r="AS36" s="294" t="s">
        <v>469</v>
      </c>
      <c r="AU36" s="288">
        <v>39018.952062430326</v>
      </c>
      <c r="AV36" s="292" t="s">
        <v>469</v>
      </c>
      <c r="AW36" s="293" t="e">
        <v>#REF!</v>
      </c>
      <c r="AX36" s="293" t="s">
        <v>469</v>
      </c>
      <c r="AY36" s="293" t="s">
        <v>469</v>
      </c>
      <c r="AZ36" s="293" t="s">
        <v>469</v>
      </c>
      <c r="BA36" s="294" t="s">
        <v>469</v>
      </c>
      <c r="BC36" s="288" t="s">
        <v>469</v>
      </c>
      <c r="BD36" s="292" t="s">
        <v>469</v>
      </c>
      <c r="BE36" s="293" t="s">
        <v>469</v>
      </c>
      <c r="BF36" s="293" t="s">
        <v>469</v>
      </c>
      <c r="BG36" s="293" t="s">
        <v>469</v>
      </c>
      <c r="BH36" s="293" t="s">
        <v>469</v>
      </c>
      <c r="BI36" s="294" t="s">
        <v>469</v>
      </c>
      <c r="BK36" s="288" t="s">
        <v>469</v>
      </c>
      <c r="BL36" s="292" t="s">
        <v>469</v>
      </c>
      <c r="BM36" s="293" t="s">
        <v>469</v>
      </c>
      <c r="BN36" s="293" t="s">
        <v>469</v>
      </c>
      <c r="BO36" s="293" t="s">
        <v>469</v>
      </c>
      <c r="BP36" s="293" t="s">
        <v>469</v>
      </c>
      <c r="BQ36" s="294" t="s">
        <v>469</v>
      </c>
      <c r="BS36" s="288" t="s">
        <v>469</v>
      </c>
      <c r="BT36" s="292" t="s">
        <v>469</v>
      </c>
      <c r="BU36" s="293" t="s">
        <v>469</v>
      </c>
      <c r="BV36" s="293" t="s">
        <v>469</v>
      </c>
      <c r="BW36" s="293" t="s">
        <v>469</v>
      </c>
      <c r="BX36" s="293" t="s">
        <v>469</v>
      </c>
      <c r="BY36" s="294" t="s">
        <v>469</v>
      </c>
      <c r="CA36" s="288" t="s">
        <v>469</v>
      </c>
      <c r="CB36" s="292" t="s">
        <v>469</v>
      </c>
      <c r="CC36" s="293" t="s">
        <v>469</v>
      </c>
      <c r="CD36" s="293" t="s">
        <v>469</v>
      </c>
      <c r="CE36" s="293" t="s">
        <v>469</v>
      </c>
      <c r="CF36" s="293" t="s">
        <v>469</v>
      </c>
      <c r="CG36" s="294" t="s">
        <v>469</v>
      </c>
      <c r="CI36" s="288" t="s">
        <v>469</v>
      </c>
      <c r="CJ36" s="292" t="s">
        <v>469</v>
      </c>
      <c r="CK36" s="293" t="s">
        <v>469</v>
      </c>
      <c r="CL36" s="293" t="s">
        <v>469</v>
      </c>
      <c r="CM36" s="293" t="s">
        <v>469</v>
      </c>
      <c r="CN36" s="293" t="s">
        <v>469</v>
      </c>
      <c r="CO36" s="294" t="s">
        <v>469</v>
      </c>
      <c r="CQ36" s="295" t="e">
        <v>#REF!</v>
      </c>
      <c r="CR36" s="209" t="e">
        <v>#REF!</v>
      </c>
    </row>
    <row r="37" spans="2:96" ht="15.75" customHeight="1">
      <c r="B37" s="403"/>
      <c r="C37" s="415"/>
      <c r="D37" s="403"/>
      <c r="E37" s="425"/>
      <c r="F37" s="415"/>
      <c r="G37" s="352"/>
      <c r="H37" s="426"/>
      <c r="I37" s="324"/>
      <c r="J37" s="309"/>
      <c r="K37" s="210"/>
      <c r="L37" s="329"/>
      <c r="M37" s="209" t="e">
        <v>#REF!</v>
      </c>
      <c r="O37" s="330">
        <v>3100</v>
      </c>
      <c r="P37" s="331" t="s">
        <v>346</v>
      </c>
      <c r="Q37" s="332"/>
      <c r="R37" s="333"/>
      <c r="S37" s="334">
        <v>126000</v>
      </c>
      <c r="T37" s="286">
        <v>1.1148272017837235</v>
      </c>
      <c r="U37" s="287">
        <v>140468.22742474917</v>
      </c>
      <c r="V37" s="208" t="s">
        <v>285</v>
      </c>
      <c r="W37" s="248" t="s">
        <v>283</v>
      </c>
      <c r="X37" s="271" t="s">
        <v>469</v>
      </c>
      <c r="Y37" s="271" t="s">
        <v>469</v>
      </c>
      <c r="Z37" s="271" t="s">
        <v>469</v>
      </c>
      <c r="AA37" s="271" t="s">
        <v>469</v>
      </c>
      <c r="AB37" s="271" t="s">
        <v>469</v>
      </c>
      <c r="AC37" s="272" t="e">
        <v>#REF!</v>
      </c>
      <c r="AE37" s="288" t="s">
        <v>469</v>
      </c>
      <c r="AF37" s="292" t="s">
        <v>469</v>
      </c>
      <c r="AG37" s="293" t="s">
        <v>469</v>
      </c>
      <c r="AH37" s="293" t="s">
        <v>469</v>
      </c>
      <c r="AI37" s="293" t="s">
        <v>469</v>
      </c>
      <c r="AJ37" s="293" t="s">
        <v>469</v>
      </c>
      <c r="AK37" s="294" t="s">
        <v>469</v>
      </c>
      <c r="AM37" s="288">
        <v>140468.22742474917</v>
      </c>
      <c r="AN37" s="292" t="s">
        <v>469</v>
      </c>
      <c r="AO37" s="293" t="s">
        <v>469</v>
      </c>
      <c r="AP37" s="293" t="s">
        <v>469</v>
      </c>
      <c r="AQ37" s="293" t="s">
        <v>469</v>
      </c>
      <c r="AR37" s="293" t="s">
        <v>469</v>
      </c>
      <c r="AS37" s="294" t="e">
        <v>#REF!</v>
      </c>
      <c r="AU37" s="288" t="s">
        <v>469</v>
      </c>
      <c r="AV37" s="292" t="s">
        <v>469</v>
      </c>
      <c r="AW37" s="293" t="s">
        <v>469</v>
      </c>
      <c r="AX37" s="293" t="s">
        <v>469</v>
      </c>
      <c r="AY37" s="293" t="s">
        <v>469</v>
      </c>
      <c r="AZ37" s="293" t="s">
        <v>469</v>
      </c>
      <c r="BA37" s="294" t="s">
        <v>469</v>
      </c>
      <c r="BC37" s="288" t="s">
        <v>469</v>
      </c>
      <c r="BD37" s="292" t="s">
        <v>469</v>
      </c>
      <c r="BE37" s="293" t="s">
        <v>469</v>
      </c>
      <c r="BF37" s="293" t="s">
        <v>469</v>
      </c>
      <c r="BG37" s="293" t="s">
        <v>469</v>
      </c>
      <c r="BH37" s="293" t="s">
        <v>469</v>
      </c>
      <c r="BI37" s="294" t="s">
        <v>469</v>
      </c>
      <c r="BK37" s="288" t="s">
        <v>469</v>
      </c>
      <c r="BL37" s="292" t="s">
        <v>469</v>
      </c>
      <c r="BM37" s="293" t="s">
        <v>469</v>
      </c>
      <c r="BN37" s="293" t="s">
        <v>469</v>
      </c>
      <c r="BO37" s="293" t="s">
        <v>469</v>
      </c>
      <c r="BP37" s="293" t="s">
        <v>469</v>
      </c>
      <c r="BQ37" s="294" t="s">
        <v>469</v>
      </c>
      <c r="BS37" s="288" t="s">
        <v>469</v>
      </c>
      <c r="BT37" s="292" t="s">
        <v>469</v>
      </c>
      <c r="BU37" s="293" t="s">
        <v>469</v>
      </c>
      <c r="BV37" s="293" t="s">
        <v>469</v>
      </c>
      <c r="BW37" s="293" t="s">
        <v>469</v>
      </c>
      <c r="BX37" s="293" t="s">
        <v>469</v>
      </c>
      <c r="BY37" s="294" t="s">
        <v>469</v>
      </c>
      <c r="CA37" s="288" t="s">
        <v>469</v>
      </c>
      <c r="CB37" s="292" t="s">
        <v>469</v>
      </c>
      <c r="CC37" s="293" t="s">
        <v>469</v>
      </c>
      <c r="CD37" s="293" t="s">
        <v>469</v>
      </c>
      <c r="CE37" s="293" t="s">
        <v>469</v>
      </c>
      <c r="CF37" s="293" t="s">
        <v>469</v>
      </c>
      <c r="CG37" s="294" t="s">
        <v>469</v>
      </c>
      <c r="CI37" s="288" t="s">
        <v>469</v>
      </c>
      <c r="CJ37" s="292" t="s">
        <v>469</v>
      </c>
      <c r="CK37" s="293" t="s">
        <v>469</v>
      </c>
      <c r="CL37" s="293" t="s">
        <v>469</v>
      </c>
      <c r="CM37" s="293" t="s">
        <v>469</v>
      </c>
      <c r="CN37" s="293" t="s">
        <v>469</v>
      </c>
      <c r="CO37" s="294" t="s">
        <v>469</v>
      </c>
      <c r="CQ37" s="295" t="e">
        <v>#REF!</v>
      </c>
      <c r="CR37" s="209" t="e">
        <v>#REF!</v>
      </c>
    </row>
    <row r="38" spans="2:96" ht="15.75" customHeight="1">
      <c r="B38" s="403">
        <v>4000</v>
      </c>
      <c r="C38" s="415" t="s">
        <v>347</v>
      </c>
      <c r="D38" s="424">
        <v>0.05</v>
      </c>
      <c r="E38" s="425">
        <v>0</v>
      </c>
      <c r="F38" s="415">
        <v>0.343013698630137</v>
      </c>
      <c r="G38" s="352">
        <v>0.03786068959677761</v>
      </c>
      <c r="H38" s="348">
        <v>15024000</v>
      </c>
      <c r="I38" s="322">
        <v>0</v>
      </c>
      <c r="J38" s="326"/>
      <c r="K38" s="210"/>
      <c r="M38" s="209" t="e">
        <v>#REF!</v>
      </c>
      <c r="O38" s="310">
        <v>3200</v>
      </c>
      <c r="P38" s="335" t="s">
        <v>348</v>
      </c>
      <c r="Q38" s="336"/>
      <c r="R38" s="337"/>
      <c r="S38" s="338">
        <v>360000</v>
      </c>
      <c r="T38" s="286">
        <v>1.1148272017837235</v>
      </c>
      <c r="U38" s="287">
        <v>401337.79264214047</v>
      </c>
      <c r="V38" s="208" t="s">
        <v>287</v>
      </c>
      <c r="W38" s="248" t="s">
        <v>282</v>
      </c>
      <c r="X38" s="271" t="s">
        <v>469</v>
      </c>
      <c r="Y38" s="271" t="s">
        <v>469</v>
      </c>
      <c r="Z38" s="271" t="s">
        <v>469</v>
      </c>
      <c r="AA38" s="271" t="s">
        <v>469</v>
      </c>
      <c r="AB38" s="271" t="e">
        <v>#REF!</v>
      </c>
      <c r="AC38" s="272" t="s">
        <v>469</v>
      </c>
      <c r="AE38" s="288" t="s">
        <v>469</v>
      </c>
      <c r="AF38" s="292" t="s">
        <v>469</v>
      </c>
      <c r="AG38" s="293" t="s">
        <v>469</v>
      </c>
      <c r="AH38" s="293" t="s">
        <v>469</v>
      </c>
      <c r="AI38" s="293" t="s">
        <v>469</v>
      </c>
      <c r="AJ38" s="293" t="s">
        <v>469</v>
      </c>
      <c r="AK38" s="294" t="s">
        <v>469</v>
      </c>
      <c r="AM38" s="288" t="s">
        <v>469</v>
      </c>
      <c r="AN38" s="292" t="s">
        <v>469</v>
      </c>
      <c r="AO38" s="293" t="s">
        <v>469</v>
      </c>
      <c r="AP38" s="293" t="s">
        <v>469</v>
      </c>
      <c r="AQ38" s="293" t="s">
        <v>469</v>
      </c>
      <c r="AR38" s="293" t="s">
        <v>469</v>
      </c>
      <c r="AS38" s="294" t="s">
        <v>469</v>
      </c>
      <c r="AU38" s="288" t="s">
        <v>469</v>
      </c>
      <c r="AV38" s="292" t="s">
        <v>469</v>
      </c>
      <c r="AW38" s="293" t="s">
        <v>469</v>
      </c>
      <c r="AX38" s="293" t="s">
        <v>469</v>
      </c>
      <c r="AY38" s="293" t="s">
        <v>469</v>
      </c>
      <c r="AZ38" s="293" t="s">
        <v>469</v>
      </c>
      <c r="BA38" s="294" t="s">
        <v>469</v>
      </c>
      <c r="BC38" s="288">
        <v>401337.79264214047</v>
      </c>
      <c r="BD38" s="292" t="s">
        <v>469</v>
      </c>
      <c r="BE38" s="293" t="s">
        <v>469</v>
      </c>
      <c r="BF38" s="293" t="s">
        <v>469</v>
      </c>
      <c r="BG38" s="293" t="s">
        <v>469</v>
      </c>
      <c r="BH38" s="293" t="e">
        <v>#REF!</v>
      </c>
      <c r="BI38" s="294" t="s">
        <v>469</v>
      </c>
      <c r="BK38" s="288" t="s">
        <v>469</v>
      </c>
      <c r="BL38" s="292" t="s">
        <v>469</v>
      </c>
      <c r="BM38" s="293" t="s">
        <v>469</v>
      </c>
      <c r="BN38" s="293" t="s">
        <v>469</v>
      </c>
      <c r="BO38" s="293" t="s">
        <v>469</v>
      </c>
      <c r="BP38" s="293" t="s">
        <v>469</v>
      </c>
      <c r="BQ38" s="294" t="s">
        <v>469</v>
      </c>
      <c r="BS38" s="288" t="s">
        <v>469</v>
      </c>
      <c r="BT38" s="292" t="s">
        <v>469</v>
      </c>
      <c r="BU38" s="293" t="s">
        <v>469</v>
      </c>
      <c r="BV38" s="293" t="s">
        <v>469</v>
      </c>
      <c r="BW38" s="293" t="s">
        <v>469</v>
      </c>
      <c r="BX38" s="293" t="s">
        <v>469</v>
      </c>
      <c r="BY38" s="294" t="s">
        <v>469</v>
      </c>
      <c r="CA38" s="288" t="s">
        <v>469</v>
      </c>
      <c r="CB38" s="292" t="s">
        <v>469</v>
      </c>
      <c r="CC38" s="293" t="s">
        <v>469</v>
      </c>
      <c r="CD38" s="293" t="s">
        <v>469</v>
      </c>
      <c r="CE38" s="293" t="s">
        <v>469</v>
      </c>
      <c r="CF38" s="293" t="s">
        <v>469</v>
      </c>
      <c r="CG38" s="294" t="s">
        <v>469</v>
      </c>
      <c r="CI38" s="288" t="s">
        <v>469</v>
      </c>
      <c r="CJ38" s="292" t="s">
        <v>469</v>
      </c>
      <c r="CK38" s="293" t="s">
        <v>469</v>
      </c>
      <c r="CL38" s="293" t="s">
        <v>469</v>
      </c>
      <c r="CM38" s="293" t="s">
        <v>469</v>
      </c>
      <c r="CN38" s="293" t="s">
        <v>469</v>
      </c>
      <c r="CO38" s="294" t="s">
        <v>469</v>
      </c>
      <c r="CQ38" s="295" t="e">
        <v>#REF!</v>
      </c>
      <c r="CR38" s="209" t="e">
        <v>#REF!</v>
      </c>
    </row>
    <row r="39" spans="2:97" ht="15.75" customHeight="1">
      <c r="B39" s="403"/>
      <c r="C39" s="415"/>
      <c r="D39" s="403"/>
      <c r="E39" s="425"/>
      <c r="F39" s="415"/>
      <c r="G39" s="352"/>
      <c r="H39" s="426"/>
      <c r="I39" s="339"/>
      <c r="J39" s="309"/>
      <c r="K39" s="210"/>
      <c r="M39" s="209" t="e">
        <v>#REF!</v>
      </c>
      <c r="O39" s="310">
        <v>3300</v>
      </c>
      <c r="P39" s="335" t="s">
        <v>349</v>
      </c>
      <c r="Q39" s="336"/>
      <c r="R39" s="337"/>
      <c r="S39" s="338">
        <v>10750000</v>
      </c>
      <c r="T39" s="286">
        <v>1.1148272017837235</v>
      </c>
      <c r="U39" s="287">
        <v>11984392.419175027</v>
      </c>
      <c r="V39" s="208" t="s">
        <v>287</v>
      </c>
      <c r="W39" s="248" t="s">
        <v>282</v>
      </c>
      <c r="X39" s="271" t="s">
        <v>469</v>
      </c>
      <c r="Y39" s="271" t="s">
        <v>469</v>
      </c>
      <c r="Z39" s="271" t="s">
        <v>469</v>
      </c>
      <c r="AA39" s="271" t="s">
        <v>469</v>
      </c>
      <c r="AB39" s="271" t="e">
        <v>#REF!</v>
      </c>
      <c r="AC39" s="272" t="s">
        <v>469</v>
      </c>
      <c r="AE39" s="288" t="s">
        <v>469</v>
      </c>
      <c r="AF39" s="292" t="s">
        <v>469</v>
      </c>
      <c r="AG39" s="293" t="s">
        <v>469</v>
      </c>
      <c r="AH39" s="293" t="s">
        <v>469</v>
      </c>
      <c r="AI39" s="293" t="s">
        <v>469</v>
      </c>
      <c r="AJ39" s="293" t="s">
        <v>469</v>
      </c>
      <c r="AK39" s="294" t="s">
        <v>469</v>
      </c>
      <c r="AM39" s="288" t="s">
        <v>469</v>
      </c>
      <c r="AN39" s="292" t="s">
        <v>469</v>
      </c>
      <c r="AO39" s="293" t="s">
        <v>469</v>
      </c>
      <c r="AP39" s="293" t="s">
        <v>469</v>
      </c>
      <c r="AQ39" s="293" t="s">
        <v>469</v>
      </c>
      <c r="AR39" s="293" t="s">
        <v>469</v>
      </c>
      <c r="AS39" s="294" t="s">
        <v>469</v>
      </c>
      <c r="AU39" s="288" t="s">
        <v>469</v>
      </c>
      <c r="AV39" s="292" t="s">
        <v>469</v>
      </c>
      <c r="AW39" s="293" t="s">
        <v>469</v>
      </c>
      <c r="AX39" s="293" t="s">
        <v>469</v>
      </c>
      <c r="AY39" s="293" t="s">
        <v>469</v>
      </c>
      <c r="AZ39" s="293" t="s">
        <v>469</v>
      </c>
      <c r="BA39" s="294" t="s">
        <v>469</v>
      </c>
      <c r="BC39" s="288">
        <v>11984392.419175027</v>
      </c>
      <c r="BD39" s="292" t="s">
        <v>469</v>
      </c>
      <c r="BE39" s="293" t="s">
        <v>469</v>
      </c>
      <c r="BF39" s="293" t="s">
        <v>469</v>
      </c>
      <c r="BG39" s="293" t="s">
        <v>469</v>
      </c>
      <c r="BH39" s="293" t="e">
        <v>#REF!</v>
      </c>
      <c r="BI39" s="294" t="s">
        <v>469</v>
      </c>
      <c r="BK39" s="288" t="s">
        <v>469</v>
      </c>
      <c r="BL39" s="292" t="s">
        <v>469</v>
      </c>
      <c r="BM39" s="293" t="s">
        <v>469</v>
      </c>
      <c r="BN39" s="293" t="s">
        <v>469</v>
      </c>
      <c r="BO39" s="293" t="s">
        <v>469</v>
      </c>
      <c r="BP39" s="293" t="s">
        <v>469</v>
      </c>
      <c r="BQ39" s="294" t="s">
        <v>469</v>
      </c>
      <c r="BS39" s="288" t="s">
        <v>469</v>
      </c>
      <c r="BT39" s="292" t="s">
        <v>469</v>
      </c>
      <c r="BU39" s="293" t="s">
        <v>469</v>
      </c>
      <c r="BV39" s="293" t="s">
        <v>469</v>
      </c>
      <c r="BW39" s="293" t="s">
        <v>469</v>
      </c>
      <c r="BX39" s="293" t="s">
        <v>469</v>
      </c>
      <c r="BY39" s="294" t="s">
        <v>469</v>
      </c>
      <c r="CA39" s="288" t="s">
        <v>469</v>
      </c>
      <c r="CB39" s="292" t="s">
        <v>469</v>
      </c>
      <c r="CC39" s="293" t="s">
        <v>469</v>
      </c>
      <c r="CD39" s="293" t="s">
        <v>469</v>
      </c>
      <c r="CE39" s="293" t="s">
        <v>469</v>
      </c>
      <c r="CF39" s="293" t="s">
        <v>469</v>
      </c>
      <c r="CG39" s="294" t="s">
        <v>469</v>
      </c>
      <c r="CI39" s="288" t="s">
        <v>469</v>
      </c>
      <c r="CJ39" s="292" t="s">
        <v>469</v>
      </c>
      <c r="CK39" s="293" t="s">
        <v>469</v>
      </c>
      <c r="CL39" s="293" t="s">
        <v>469</v>
      </c>
      <c r="CM39" s="293" t="s">
        <v>469</v>
      </c>
      <c r="CN39" s="293" t="s">
        <v>469</v>
      </c>
      <c r="CO39" s="294" t="s">
        <v>469</v>
      </c>
      <c r="CQ39" s="295" t="e">
        <v>#REF!</v>
      </c>
      <c r="CR39" s="209" t="e">
        <v>#REF!</v>
      </c>
      <c r="CS39" s="340"/>
    </row>
    <row r="40" spans="2:97" ht="15.75" customHeight="1">
      <c r="B40" s="403">
        <v>6000</v>
      </c>
      <c r="C40" s="415" t="s">
        <v>350</v>
      </c>
      <c r="D40" s="424">
        <v>0.1</v>
      </c>
      <c r="E40" s="425">
        <v>0</v>
      </c>
      <c r="F40" s="415">
        <v>3.0123515981735163</v>
      </c>
      <c r="G40" s="352">
        <v>0.3324931606821375</v>
      </c>
      <c r="H40" s="348">
        <v>131941000</v>
      </c>
      <c r="I40" s="443"/>
      <c r="J40" s="326"/>
      <c r="K40" s="210"/>
      <c r="L40" s="210"/>
      <c r="M40" s="209" t="e">
        <v>#REF!</v>
      </c>
      <c r="O40" s="264">
        <v>3350</v>
      </c>
      <c r="P40" s="342" t="s">
        <v>351</v>
      </c>
      <c r="Q40" s="244"/>
      <c r="R40" s="245"/>
      <c r="S40" s="285">
        <v>200000</v>
      </c>
      <c r="T40" s="286">
        <v>1.1148272017837235</v>
      </c>
      <c r="U40" s="287">
        <v>222965.44035674472</v>
      </c>
      <c r="V40" s="208" t="s">
        <v>287</v>
      </c>
      <c r="W40" s="248" t="s">
        <v>279</v>
      </c>
      <c r="X40" s="271" t="e">
        <v>#REF!</v>
      </c>
      <c r="Y40" s="271" t="s">
        <v>469</v>
      </c>
      <c r="Z40" s="271" t="s">
        <v>469</v>
      </c>
      <c r="AA40" s="271" t="s">
        <v>469</v>
      </c>
      <c r="AB40" s="271" t="s">
        <v>469</v>
      </c>
      <c r="AC40" s="272" t="s">
        <v>469</v>
      </c>
      <c r="AE40" s="288" t="s">
        <v>469</v>
      </c>
      <c r="AF40" s="292" t="s">
        <v>469</v>
      </c>
      <c r="AG40" s="293" t="s">
        <v>469</v>
      </c>
      <c r="AH40" s="293" t="s">
        <v>469</v>
      </c>
      <c r="AI40" s="293" t="s">
        <v>469</v>
      </c>
      <c r="AJ40" s="293" t="s">
        <v>469</v>
      </c>
      <c r="AK40" s="294" t="s">
        <v>469</v>
      </c>
      <c r="AM40" s="288" t="s">
        <v>469</v>
      </c>
      <c r="AN40" s="292" t="s">
        <v>469</v>
      </c>
      <c r="AO40" s="293" t="s">
        <v>469</v>
      </c>
      <c r="AP40" s="293" t="s">
        <v>469</v>
      </c>
      <c r="AQ40" s="293" t="s">
        <v>469</v>
      </c>
      <c r="AR40" s="293" t="s">
        <v>469</v>
      </c>
      <c r="AS40" s="294" t="s">
        <v>469</v>
      </c>
      <c r="AU40" s="288" t="s">
        <v>469</v>
      </c>
      <c r="AV40" s="292" t="s">
        <v>469</v>
      </c>
      <c r="AW40" s="293" t="s">
        <v>469</v>
      </c>
      <c r="AX40" s="293" t="s">
        <v>469</v>
      </c>
      <c r="AY40" s="293" t="s">
        <v>469</v>
      </c>
      <c r="AZ40" s="293" t="s">
        <v>469</v>
      </c>
      <c r="BA40" s="294" t="s">
        <v>469</v>
      </c>
      <c r="BC40" s="288">
        <v>222965.44035674472</v>
      </c>
      <c r="BD40" s="292" t="e">
        <v>#REF!</v>
      </c>
      <c r="BE40" s="293" t="s">
        <v>469</v>
      </c>
      <c r="BF40" s="293" t="s">
        <v>469</v>
      </c>
      <c r="BG40" s="293" t="s">
        <v>469</v>
      </c>
      <c r="BH40" s="293" t="s">
        <v>469</v>
      </c>
      <c r="BI40" s="294" t="s">
        <v>469</v>
      </c>
      <c r="BK40" s="288" t="s">
        <v>469</v>
      </c>
      <c r="BL40" s="292" t="s">
        <v>469</v>
      </c>
      <c r="BM40" s="293" t="s">
        <v>469</v>
      </c>
      <c r="BN40" s="293" t="s">
        <v>469</v>
      </c>
      <c r="BO40" s="293" t="s">
        <v>469</v>
      </c>
      <c r="BP40" s="293" t="s">
        <v>469</v>
      </c>
      <c r="BQ40" s="294" t="s">
        <v>469</v>
      </c>
      <c r="BS40" s="288" t="s">
        <v>469</v>
      </c>
      <c r="BT40" s="292" t="s">
        <v>469</v>
      </c>
      <c r="BU40" s="293" t="s">
        <v>469</v>
      </c>
      <c r="BV40" s="293" t="s">
        <v>469</v>
      </c>
      <c r="BW40" s="293" t="s">
        <v>469</v>
      </c>
      <c r="BX40" s="293" t="s">
        <v>469</v>
      </c>
      <c r="BY40" s="294" t="s">
        <v>469</v>
      </c>
      <c r="CA40" s="288" t="s">
        <v>469</v>
      </c>
      <c r="CB40" s="292" t="s">
        <v>469</v>
      </c>
      <c r="CC40" s="293" t="s">
        <v>469</v>
      </c>
      <c r="CD40" s="293" t="s">
        <v>469</v>
      </c>
      <c r="CE40" s="293" t="s">
        <v>469</v>
      </c>
      <c r="CF40" s="293" t="s">
        <v>469</v>
      </c>
      <c r="CG40" s="294" t="s">
        <v>469</v>
      </c>
      <c r="CI40" s="288" t="s">
        <v>469</v>
      </c>
      <c r="CJ40" s="292" t="s">
        <v>469</v>
      </c>
      <c r="CK40" s="293" t="s">
        <v>469</v>
      </c>
      <c r="CL40" s="293" t="s">
        <v>469</v>
      </c>
      <c r="CM40" s="293" t="s">
        <v>469</v>
      </c>
      <c r="CN40" s="293" t="s">
        <v>469</v>
      </c>
      <c r="CO40" s="294" t="s">
        <v>469</v>
      </c>
      <c r="CQ40" s="295" t="e">
        <v>#REF!</v>
      </c>
      <c r="CR40" s="209" t="e">
        <v>#REF!</v>
      </c>
      <c r="CS40" s="343"/>
    </row>
    <row r="41" spans="2:97" ht="15.75" customHeight="1">
      <c r="B41" s="403"/>
      <c r="C41" s="415"/>
      <c r="D41" s="403"/>
      <c r="E41" s="425"/>
      <c r="F41" s="415"/>
      <c r="G41" s="352"/>
      <c r="H41" s="426"/>
      <c r="I41" s="339"/>
      <c r="J41" s="309"/>
      <c r="K41" s="210"/>
      <c r="M41" s="209" t="e">
        <v>#REF!</v>
      </c>
      <c r="O41" s="310">
        <v>3400</v>
      </c>
      <c r="P41" s="335" t="s">
        <v>352</v>
      </c>
      <c r="Q41" s="336"/>
      <c r="R41" s="337"/>
      <c r="S41" s="338">
        <v>0</v>
      </c>
      <c r="T41" s="286">
        <v>1.1148272017837235</v>
      </c>
      <c r="U41" s="287">
        <v>0</v>
      </c>
      <c r="V41" s="208" t="s">
        <v>285</v>
      </c>
      <c r="W41" s="248" t="s">
        <v>210</v>
      </c>
      <c r="X41" s="271" t="s">
        <v>469</v>
      </c>
      <c r="Y41" s="271" t="s">
        <v>469</v>
      </c>
      <c r="Z41" s="271" t="s">
        <v>469</v>
      </c>
      <c r="AA41" s="271" t="e">
        <v>#REF!</v>
      </c>
      <c r="AB41" s="271" t="s">
        <v>469</v>
      </c>
      <c r="AC41" s="272" t="s">
        <v>469</v>
      </c>
      <c r="AE41" s="288" t="s">
        <v>469</v>
      </c>
      <c r="AF41" s="292" t="s">
        <v>469</v>
      </c>
      <c r="AG41" s="293" t="s">
        <v>469</v>
      </c>
      <c r="AH41" s="293" t="s">
        <v>469</v>
      </c>
      <c r="AI41" s="293" t="s">
        <v>469</v>
      </c>
      <c r="AJ41" s="293" t="s">
        <v>469</v>
      </c>
      <c r="AK41" s="294" t="s">
        <v>469</v>
      </c>
      <c r="AM41" s="288">
        <v>0</v>
      </c>
      <c r="AN41" s="292" t="s">
        <v>469</v>
      </c>
      <c r="AO41" s="293" t="s">
        <v>469</v>
      </c>
      <c r="AP41" s="293" t="s">
        <v>469</v>
      </c>
      <c r="AQ41" s="293" t="e">
        <v>#REF!</v>
      </c>
      <c r="AR41" s="293" t="s">
        <v>469</v>
      </c>
      <c r="AS41" s="294" t="s">
        <v>469</v>
      </c>
      <c r="AU41" s="288" t="s">
        <v>469</v>
      </c>
      <c r="AV41" s="292" t="s">
        <v>469</v>
      </c>
      <c r="AW41" s="293" t="s">
        <v>469</v>
      </c>
      <c r="AX41" s="293" t="s">
        <v>469</v>
      </c>
      <c r="AY41" s="293" t="s">
        <v>469</v>
      </c>
      <c r="AZ41" s="293" t="s">
        <v>469</v>
      </c>
      <c r="BA41" s="294" t="s">
        <v>469</v>
      </c>
      <c r="BC41" s="288" t="s">
        <v>469</v>
      </c>
      <c r="BD41" s="292" t="s">
        <v>469</v>
      </c>
      <c r="BE41" s="293" t="s">
        <v>469</v>
      </c>
      <c r="BF41" s="293" t="s">
        <v>469</v>
      </c>
      <c r="BG41" s="293" t="s">
        <v>469</v>
      </c>
      <c r="BH41" s="293" t="s">
        <v>469</v>
      </c>
      <c r="BI41" s="294" t="s">
        <v>469</v>
      </c>
      <c r="BK41" s="288" t="s">
        <v>469</v>
      </c>
      <c r="BL41" s="292" t="s">
        <v>469</v>
      </c>
      <c r="BM41" s="293" t="s">
        <v>469</v>
      </c>
      <c r="BN41" s="293" t="s">
        <v>469</v>
      </c>
      <c r="BO41" s="293" t="s">
        <v>469</v>
      </c>
      <c r="BP41" s="293" t="s">
        <v>469</v>
      </c>
      <c r="BQ41" s="294" t="s">
        <v>469</v>
      </c>
      <c r="BS41" s="288" t="s">
        <v>469</v>
      </c>
      <c r="BT41" s="292" t="s">
        <v>469</v>
      </c>
      <c r="BU41" s="293" t="s">
        <v>469</v>
      </c>
      <c r="BV41" s="293" t="s">
        <v>469</v>
      </c>
      <c r="BW41" s="293" t="s">
        <v>469</v>
      </c>
      <c r="BX41" s="293" t="s">
        <v>469</v>
      </c>
      <c r="BY41" s="294" t="s">
        <v>469</v>
      </c>
      <c r="CA41" s="288" t="s">
        <v>469</v>
      </c>
      <c r="CB41" s="292" t="s">
        <v>469</v>
      </c>
      <c r="CC41" s="293" t="s">
        <v>469</v>
      </c>
      <c r="CD41" s="293" t="s">
        <v>469</v>
      </c>
      <c r="CE41" s="293" t="s">
        <v>469</v>
      </c>
      <c r="CF41" s="293" t="s">
        <v>469</v>
      </c>
      <c r="CG41" s="294" t="s">
        <v>469</v>
      </c>
      <c r="CI41" s="288" t="s">
        <v>469</v>
      </c>
      <c r="CJ41" s="292" t="s">
        <v>469</v>
      </c>
      <c r="CK41" s="293" t="s">
        <v>469</v>
      </c>
      <c r="CL41" s="293" t="s">
        <v>469</v>
      </c>
      <c r="CM41" s="293" t="s">
        <v>469</v>
      </c>
      <c r="CN41" s="293" t="s">
        <v>469</v>
      </c>
      <c r="CO41" s="294" t="s">
        <v>469</v>
      </c>
      <c r="CQ41" s="295" t="e">
        <v>#REF!</v>
      </c>
      <c r="CR41" s="209" t="e">
        <v>#REF!</v>
      </c>
      <c r="CS41" s="343"/>
    </row>
    <row r="42" spans="2:96" ht="15.75" customHeight="1">
      <c r="B42" s="403">
        <v>8000</v>
      </c>
      <c r="C42" s="415" t="s">
        <v>235</v>
      </c>
      <c r="D42" s="424">
        <v>0.05</v>
      </c>
      <c r="E42" s="425">
        <v>0</v>
      </c>
      <c r="F42" s="415">
        <v>0.2393219178082192</v>
      </c>
      <c r="G42" s="352">
        <v>0.02641554223644182</v>
      </c>
      <c r="H42" s="348">
        <v>10482300</v>
      </c>
      <c r="I42" s="319"/>
      <c r="J42" s="326"/>
      <c r="K42" s="210"/>
      <c r="M42" s="209" t="e">
        <v>#REF!</v>
      </c>
      <c r="O42" s="344">
        <v>3420</v>
      </c>
      <c r="P42" s="345" t="s">
        <v>353</v>
      </c>
      <c r="Q42" s="244"/>
      <c r="R42" s="245"/>
      <c r="S42" s="285">
        <v>0</v>
      </c>
      <c r="T42" s="286">
        <v>1.1148272017837235</v>
      </c>
      <c r="U42" s="287">
        <v>0</v>
      </c>
      <c r="W42" s="248"/>
      <c r="X42" s="271" t="s">
        <v>469</v>
      </c>
      <c r="Y42" s="271" t="s">
        <v>469</v>
      </c>
      <c r="Z42" s="271" t="s">
        <v>469</v>
      </c>
      <c r="AA42" s="271" t="s">
        <v>469</v>
      </c>
      <c r="AB42" s="271" t="s">
        <v>469</v>
      </c>
      <c r="AC42" s="272" t="s">
        <v>469</v>
      </c>
      <c r="AE42" s="288" t="s">
        <v>469</v>
      </c>
      <c r="AF42" s="292" t="s">
        <v>469</v>
      </c>
      <c r="AG42" s="293" t="s">
        <v>469</v>
      </c>
      <c r="AH42" s="293" t="s">
        <v>469</v>
      </c>
      <c r="AI42" s="293" t="s">
        <v>469</v>
      </c>
      <c r="AJ42" s="293" t="s">
        <v>469</v>
      </c>
      <c r="AK42" s="294" t="s">
        <v>469</v>
      </c>
      <c r="AM42" s="288" t="s">
        <v>469</v>
      </c>
      <c r="AN42" s="292" t="s">
        <v>469</v>
      </c>
      <c r="AO42" s="293" t="s">
        <v>469</v>
      </c>
      <c r="AP42" s="293" t="s">
        <v>469</v>
      </c>
      <c r="AQ42" s="293" t="s">
        <v>469</v>
      </c>
      <c r="AR42" s="293" t="s">
        <v>469</v>
      </c>
      <c r="AS42" s="294" t="s">
        <v>469</v>
      </c>
      <c r="AU42" s="288" t="s">
        <v>469</v>
      </c>
      <c r="AV42" s="292" t="s">
        <v>469</v>
      </c>
      <c r="AW42" s="293" t="s">
        <v>469</v>
      </c>
      <c r="AX42" s="293" t="s">
        <v>469</v>
      </c>
      <c r="AY42" s="293" t="s">
        <v>469</v>
      </c>
      <c r="AZ42" s="293" t="s">
        <v>469</v>
      </c>
      <c r="BA42" s="294" t="s">
        <v>469</v>
      </c>
      <c r="BC42" s="288" t="s">
        <v>469</v>
      </c>
      <c r="BD42" s="292" t="s">
        <v>469</v>
      </c>
      <c r="BE42" s="293" t="s">
        <v>469</v>
      </c>
      <c r="BF42" s="293" t="s">
        <v>469</v>
      </c>
      <c r="BG42" s="293" t="s">
        <v>469</v>
      </c>
      <c r="BH42" s="293" t="s">
        <v>469</v>
      </c>
      <c r="BI42" s="294" t="s">
        <v>469</v>
      </c>
      <c r="BK42" s="288" t="s">
        <v>469</v>
      </c>
      <c r="BL42" s="292" t="s">
        <v>469</v>
      </c>
      <c r="BM42" s="293" t="s">
        <v>469</v>
      </c>
      <c r="BN42" s="293" t="s">
        <v>469</v>
      </c>
      <c r="BO42" s="293" t="s">
        <v>469</v>
      </c>
      <c r="BP42" s="293" t="s">
        <v>469</v>
      </c>
      <c r="BQ42" s="294" t="s">
        <v>469</v>
      </c>
      <c r="BS42" s="288" t="s">
        <v>469</v>
      </c>
      <c r="BT42" s="292" t="s">
        <v>469</v>
      </c>
      <c r="BU42" s="293" t="s">
        <v>469</v>
      </c>
      <c r="BV42" s="293" t="s">
        <v>469</v>
      </c>
      <c r="BW42" s="293" t="s">
        <v>469</v>
      </c>
      <c r="BX42" s="293" t="s">
        <v>469</v>
      </c>
      <c r="BY42" s="294" t="s">
        <v>469</v>
      </c>
      <c r="CA42" s="288" t="s">
        <v>469</v>
      </c>
      <c r="CB42" s="292" t="s">
        <v>469</v>
      </c>
      <c r="CC42" s="293" t="s">
        <v>469</v>
      </c>
      <c r="CD42" s="293" t="s">
        <v>469</v>
      </c>
      <c r="CE42" s="293" t="s">
        <v>469</v>
      </c>
      <c r="CF42" s="293" t="s">
        <v>469</v>
      </c>
      <c r="CG42" s="294" t="s">
        <v>469</v>
      </c>
      <c r="CI42" s="288" t="s">
        <v>469</v>
      </c>
      <c r="CJ42" s="292" t="s">
        <v>469</v>
      </c>
      <c r="CK42" s="293" t="s">
        <v>469</v>
      </c>
      <c r="CL42" s="293" t="s">
        <v>469</v>
      </c>
      <c r="CM42" s="293" t="s">
        <v>469</v>
      </c>
      <c r="CN42" s="293" t="s">
        <v>469</v>
      </c>
      <c r="CO42" s="294" t="s">
        <v>469</v>
      </c>
      <c r="CQ42" s="295" t="e">
        <v>#REF!</v>
      </c>
      <c r="CR42" s="209" t="e">
        <v>#REF!</v>
      </c>
    </row>
    <row r="43" spans="2:97" ht="15.75" customHeight="1">
      <c r="B43" s="403"/>
      <c r="C43" s="415"/>
      <c r="D43" s="403"/>
      <c r="E43" s="403"/>
      <c r="F43" s="415"/>
      <c r="G43" s="401"/>
      <c r="H43" s="426"/>
      <c r="I43" s="339"/>
      <c r="J43" s="309"/>
      <c r="K43" s="210"/>
      <c r="M43" s="209" t="e">
        <v>#REF!</v>
      </c>
      <c r="O43" s="344">
        <v>3500</v>
      </c>
      <c r="P43" s="345" t="s">
        <v>354</v>
      </c>
      <c r="Q43" s="244"/>
      <c r="R43" s="245"/>
      <c r="S43" s="285">
        <v>483000</v>
      </c>
      <c r="T43" s="286">
        <v>1.1148272017837235</v>
      </c>
      <c r="U43" s="287">
        <v>538461.5384615385</v>
      </c>
      <c r="V43" s="208" t="s">
        <v>285</v>
      </c>
      <c r="W43" s="248" t="s">
        <v>283</v>
      </c>
      <c r="X43" s="271" t="s">
        <v>469</v>
      </c>
      <c r="Y43" s="271" t="s">
        <v>469</v>
      </c>
      <c r="Z43" s="271" t="s">
        <v>469</v>
      </c>
      <c r="AA43" s="271" t="s">
        <v>469</v>
      </c>
      <c r="AB43" s="271" t="s">
        <v>469</v>
      </c>
      <c r="AC43" s="272" t="e">
        <v>#REF!</v>
      </c>
      <c r="AE43" s="288" t="s">
        <v>469</v>
      </c>
      <c r="AF43" s="292" t="s">
        <v>469</v>
      </c>
      <c r="AG43" s="293" t="s">
        <v>469</v>
      </c>
      <c r="AH43" s="293" t="s">
        <v>469</v>
      </c>
      <c r="AI43" s="293" t="s">
        <v>469</v>
      </c>
      <c r="AJ43" s="293" t="s">
        <v>469</v>
      </c>
      <c r="AK43" s="294" t="s">
        <v>469</v>
      </c>
      <c r="AM43" s="288">
        <v>538461.5384615385</v>
      </c>
      <c r="AN43" s="292" t="s">
        <v>469</v>
      </c>
      <c r="AO43" s="293" t="s">
        <v>469</v>
      </c>
      <c r="AP43" s="293" t="s">
        <v>469</v>
      </c>
      <c r="AQ43" s="293" t="s">
        <v>469</v>
      </c>
      <c r="AR43" s="293" t="s">
        <v>469</v>
      </c>
      <c r="AS43" s="294" t="e">
        <v>#REF!</v>
      </c>
      <c r="AU43" s="288" t="s">
        <v>469</v>
      </c>
      <c r="AV43" s="292" t="s">
        <v>469</v>
      </c>
      <c r="AW43" s="293" t="s">
        <v>469</v>
      </c>
      <c r="AX43" s="293" t="s">
        <v>469</v>
      </c>
      <c r="AY43" s="293" t="s">
        <v>469</v>
      </c>
      <c r="AZ43" s="293" t="s">
        <v>469</v>
      </c>
      <c r="BA43" s="294" t="s">
        <v>469</v>
      </c>
      <c r="BC43" s="288" t="s">
        <v>469</v>
      </c>
      <c r="BD43" s="292" t="s">
        <v>469</v>
      </c>
      <c r="BE43" s="293" t="s">
        <v>469</v>
      </c>
      <c r="BF43" s="293" t="s">
        <v>469</v>
      </c>
      <c r="BG43" s="293" t="s">
        <v>469</v>
      </c>
      <c r="BH43" s="293" t="s">
        <v>469</v>
      </c>
      <c r="BI43" s="294" t="s">
        <v>469</v>
      </c>
      <c r="BK43" s="288" t="s">
        <v>469</v>
      </c>
      <c r="BL43" s="292" t="s">
        <v>469</v>
      </c>
      <c r="BM43" s="293" t="s">
        <v>469</v>
      </c>
      <c r="BN43" s="293" t="s">
        <v>469</v>
      </c>
      <c r="BO43" s="293" t="s">
        <v>469</v>
      </c>
      <c r="BP43" s="293" t="s">
        <v>469</v>
      </c>
      <c r="BQ43" s="294" t="s">
        <v>469</v>
      </c>
      <c r="BS43" s="288" t="s">
        <v>469</v>
      </c>
      <c r="BT43" s="292" t="s">
        <v>469</v>
      </c>
      <c r="BU43" s="293" t="s">
        <v>469</v>
      </c>
      <c r="BV43" s="293" t="s">
        <v>469</v>
      </c>
      <c r="BW43" s="293" t="s">
        <v>469</v>
      </c>
      <c r="BX43" s="293" t="s">
        <v>469</v>
      </c>
      <c r="BY43" s="294" t="s">
        <v>469</v>
      </c>
      <c r="CA43" s="288" t="s">
        <v>469</v>
      </c>
      <c r="CB43" s="292" t="s">
        <v>469</v>
      </c>
      <c r="CC43" s="293" t="s">
        <v>469</v>
      </c>
      <c r="CD43" s="293" t="s">
        <v>469</v>
      </c>
      <c r="CE43" s="293" t="s">
        <v>469</v>
      </c>
      <c r="CF43" s="293" t="s">
        <v>469</v>
      </c>
      <c r="CG43" s="294" t="s">
        <v>469</v>
      </c>
      <c r="CI43" s="288" t="s">
        <v>469</v>
      </c>
      <c r="CJ43" s="292" t="s">
        <v>469</v>
      </c>
      <c r="CK43" s="293" t="s">
        <v>469</v>
      </c>
      <c r="CL43" s="293" t="s">
        <v>469</v>
      </c>
      <c r="CM43" s="293" t="s">
        <v>469</v>
      </c>
      <c r="CN43" s="293" t="s">
        <v>469</v>
      </c>
      <c r="CO43" s="294" t="s">
        <v>469</v>
      </c>
      <c r="CQ43" s="295" t="e">
        <v>#REF!</v>
      </c>
      <c r="CR43" s="209" t="e">
        <v>#REF!</v>
      </c>
      <c r="CS43" s="343"/>
    </row>
    <row r="44" spans="2:96" ht="15.75" customHeight="1">
      <c r="B44" s="419"/>
      <c r="C44" s="415" t="s">
        <v>355</v>
      </c>
      <c r="D44" s="420"/>
      <c r="E44" s="427">
        <v>0</v>
      </c>
      <c r="F44" s="415"/>
      <c r="G44" s="400"/>
      <c r="H44" s="348">
        <v>0</v>
      </c>
      <c r="I44" s="346">
        <v>0</v>
      </c>
      <c r="J44" s="326"/>
      <c r="K44" s="210"/>
      <c r="M44" s="209" t="e">
        <v>#REF!</v>
      </c>
      <c r="O44" s="344">
        <v>3600</v>
      </c>
      <c r="P44" s="345" t="s">
        <v>356</v>
      </c>
      <c r="Q44" s="244"/>
      <c r="R44" s="245"/>
      <c r="S44" s="285">
        <v>25000</v>
      </c>
      <c r="T44" s="286">
        <v>1.1148272017837235</v>
      </c>
      <c r="U44" s="287">
        <v>27870.68004459309</v>
      </c>
      <c r="V44" s="208" t="s">
        <v>285</v>
      </c>
      <c r="W44" s="248" t="s">
        <v>210</v>
      </c>
      <c r="X44" s="271" t="s">
        <v>469</v>
      </c>
      <c r="Y44" s="271" t="s">
        <v>469</v>
      </c>
      <c r="Z44" s="271" t="s">
        <v>469</v>
      </c>
      <c r="AA44" s="271" t="e">
        <v>#REF!</v>
      </c>
      <c r="AB44" s="271" t="s">
        <v>469</v>
      </c>
      <c r="AC44" s="272" t="s">
        <v>469</v>
      </c>
      <c r="AE44" s="288" t="s">
        <v>469</v>
      </c>
      <c r="AF44" s="292" t="s">
        <v>469</v>
      </c>
      <c r="AG44" s="293" t="s">
        <v>469</v>
      </c>
      <c r="AH44" s="293" t="s">
        <v>469</v>
      </c>
      <c r="AI44" s="293" t="s">
        <v>469</v>
      </c>
      <c r="AJ44" s="293" t="s">
        <v>469</v>
      </c>
      <c r="AK44" s="294" t="s">
        <v>469</v>
      </c>
      <c r="AM44" s="288">
        <v>27870.68004459309</v>
      </c>
      <c r="AN44" s="292" t="s">
        <v>469</v>
      </c>
      <c r="AO44" s="293" t="s">
        <v>469</v>
      </c>
      <c r="AP44" s="293" t="s">
        <v>469</v>
      </c>
      <c r="AQ44" s="293" t="e">
        <v>#REF!</v>
      </c>
      <c r="AR44" s="293" t="s">
        <v>469</v>
      </c>
      <c r="AS44" s="294" t="s">
        <v>469</v>
      </c>
      <c r="AU44" s="288" t="s">
        <v>469</v>
      </c>
      <c r="AV44" s="292" t="s">
        <v>469</v>
      </c>
      <c r="AW44" s="293" t="s">
        <v>469</v>
      </c>
      <c r="AX44" s="293" t="s">
        <v>469</v>
      </c>
      <c r="AY44" s="293" t="s">
        <v>469</v>
      </c>
      <c r="AZ44" s="293" t="s">
        <v>469</v>
      </c>
      <c r="BA44" s="294" t="s">
        <v>469</v>
      </c>
      <c r="BC44" s="288" t="s">
        <v>469</v>
      </c>
      <c r="BD44" s="292" t="s">
        <v>469</v>
      </c>
      <c r="BE44" s="293" t="s">
        <v>469</v>
      </c>
      <c r="BF44" s="293" t="s">
        <v>469</v>
      </c>
      <c r="BG44" s="293" t="s">
        <v>469</v>
      </c>
      <c r="BH44" s="293" t="s">
        <v>469</v>
      </c>
      <c r="BI44" s="294" t="s">
        <v>469</v>
      </c>
      <c r="BK44" s="288" t="s">
        <v>469</v>
      </c>
      <c r="BL44" s="292" t="s">
        <v>469</v>
      </c>
      <c r="BM44" s="293" t="s">
        <v>469</v>
      </c>
      <c r="BN44" s="293" t="s">
        <v>469</v>
      </c>
      <c r="BO44" s="293" t="s">
        <v>469</v>
      </c>
      <c r="BP44" s="293" t="s">
        <v>469</v>
      </c>
      <c r="BQ44" s="294" t="s">
        <v>469</v>
      </c>
      <c r="BS44" s="288" t="s">
        <v>469</v>
      </c>
      <c r="BT44" s="292" t="s">
        <v>469</v>
      </c>
      <c r="BU44" s="293" t="s">
        <v>469</v>
      </c>
      <c r="BV44" s="293" t="s">
        <v>469</v>
      </c>
      <c r="BW44" s="293" t="s">
        <v>469</v>
      </c>
      <c r="BX44" s="293" t="s">
        <v>469</v>
      </c>
      <c r="BY44" s="294" t="s">
        <v>469</v>
      </c>
      <c r="CA44" s="288" t="s">
        <v>469</v>
      </c>
      <c r="CB44" s="292" t="s">
        <v>469</v>
      </c>
      <c r="CC44" s="293" t="s">
        <v>469</v>
      </c>
      <c r="CD44" s="293" t="s">
        <v>469</v>
      </c>
      <c r="CE44" s="293" t="s">
        <v>469</v>
      </c>
      <c r="CF44" s="293" t="s">
        <v>469</v>
      </c>
      <c r="CG44" s="294" t="s">
        <v>469</v>
      </c>
      <c r="CI44" s="288" t="s">
        <v>469</v>
      </c>
      <c r="CJ44" s="292" t="s">
        <v>469</v>
      </c>
      <c r="CK44" s="293" t="s">
        <v>469</v>
      </c>
      <c r="CL44" s="293" t="s">
        <v>469</v>
      </c>
      <c r="CM44" s="293" t="s">
        <v>469</v>
      </c>
      <c r="CN44" s="293" t="s">
        <v>469</v>
      </c>
      <c r="CO44" s="294" t="s">
        <v>469</v>
      </c>
      <c r="CQ44" s="295" t="e">
        <v>#REF!</v>
      </c>
      <c r="CR44" s="209" t="e">
        <v>#REF!</v>
      </c>
    </row>
    <row r="45" spans="2:96" ht="15.75" customHeight="1">
      <c r="B45" s="419"/>
      <c r="C45" s="403" t="s">
        <v>357</v>
      </c>
      <c r="D45" s="420"/>
      <c r="E45" s="427"/>
      <c r="F45" s="415"/>
      <c r="G45" s="427">
        <v>0.032183098165631446</v>
      </c>
      <c r="H45" s="348">
        <v>12771000</v>
      </c>
      <c r="I45" s="322">
        <v>0</v>
      </c>
      <c r="J45" s="326"/>
      <c r="K45" s="210"/>
      <c r="M45" s="209" t="e">
        <v>#REF!</v>
      </c>
      <c r="O45" s="344">
        <v>3700</v>
      </c>
      <c r="P45" s="345" t="s">
        <v>358</v>
      </c>
      <c r="Q45" s="244"/>
      <c r="R45" s="245"/>
      <c r="S45" s="285">
        <v>150000</v>
      </c>
      <c r="T45" s="286">
        <v>1.1148272017837235</v>
      </c>
      <c r="U45" s="287">
        <v>167224.08026755851</v>
      </c>
      <c r="V45" s="208" t="s">
        <v>286</v>
      </c>
      <c r="W45" s="248" t="s">
        <v>280</v>
      </c>
      <c r="X45" s="271" t="s">
        <v>469</v>
      </c>
      <c r="Y45" s="271" t="e">
        <v>#REF!</v>
      </c>
      <c r="Z45" s="271" t="s">
        <v>469</v>
      </c>
      <c r="AA45" s="271" t="s">
        <v>469</v>
      </c>
      <c r="AB45" s="271" t="s">
        <v>469</v>
      </c>
      <c r="AC45" s="272" t="s">
        <v>469</v>
      </c>
      <c r="AE45" s="288" t="s">
        <v>469</v>
      </c>
      <c r="AF45" s="292" t="s">
        <v>469</v>
      </c>
      <c r="AG45" s="293" t="s">
        <v>469</v>
      </c>
      <c r="AH45" s="293" t="s">
        <v>469</v>
      </c>
      <c r="AI45" s="293" t="s">
        <v>469</v>
      </c>
      <c r="AJ45" s="293" t="s">
        <v>469</v>
      </c>
      <c r="AK45" s="294" t="s">
        <v>469</v>
      </c>
      <c r="AM45" s="288" t="s">
        <v>469</v>
      </c>
      <c r="AN45" s="292" t="s">
        <v>469</v>
      </c>
      <c r="AO45" s="293" t="s">
        <v>469</v>
      </c>
      <c r="AP45" s="293" t="s">
        <v>469</v>
      </c>
      <c r="AQ45" s="293" t="s">
        <v>469</v>
      </c>
      <c r="AR45" s="293" t="s">
        <v>469</v>
      </c>
      <c r="AS45" s="294" t="s">
        <v>469</v>
      </c>
      <c r="AU45" s="288">
        <v>167224.08026755851</v>
      </c>
      <c r="AV45" s="292" t="s">
        <v>469</v>
      </c>
      <c r="AW45" s="293" t="e">
        <v>#REF!</v>
      </c>
      <c r="AX45" s="293" t="s">
        <v>469</v>
      </c>
      <c r="AY45" s="293" t="s">
        <v>469</v>
      </c>
      <c r="AZ45" s="293" t="s">
        <v>469</v>
      </c>
      <c r="BA45" s="294" t="s">
        <v>469</v>
      </c>
      <c r="BC45" s="288" t="s">
        <v>469</v>
      </c>
      <c r="BD45" s="292" t="s">
        <v>469</v>
      </c>
      <c r="BE45" s="293" t="s">
        <v>469</v>
      </c>
      <c r="BF45" s="293" t="s">
        <v>469</v>
      </c>
      <c r="BG45" s="293" t="s">
        <v>469</v>
      </c>
      <c r="BH45" s="293" t="s">
        <v>469</v>
      </c>
      <c r="BI45" s="294" t="s">
        <v>469</v>
      </c>
      <c r="BK45" s="288" t="s">
        <v>469</v>
      </c>
      <c r="BL45" s="292" t="s">
        <v>469</v>
      </c>
      <c r="BM45" s="293" t="s">
        <v>469</v>
      </c>
      <c r="BN45" s="293" t="s">
        <v>469</v>
      </c>
      <c r="BO45" s="293" t="s">
        <v>469</v>
      </c>
      <c r="BP45" s="293" t="s">
        <v>469</v>
      </c>
      <c r="BQ45" s="294" t="s">
        <v>469</v>
      </c>
      <c r="BS45" s="288" t="s">
        <v>469</v>
      </c>
      <c r="BT45" s="292" t="s">
        <v>469</v>
      </c>
      <c r="BU45" s="293" t="s">
        <v>469</v>
      </c>
      <c r="BV45" s="293" t="s">
        <v>469</v>
      </c>
      <c r="BW45" s="293" t="s">
        <v>469</v>
      </c>
      <c r="BX45" s="293" t="s">
        <v>469</v>
      </c>
      <c r="BY45" s="294" t="s">
        <v>469</v>
      </c>
      <c r="CA45" s="288" t="s">
        <v>469</v>
      </c>
      <c r="CB45" s="292" t="s">
        <v>469</v>
      </c>
      <c r="CC45" s="293" t="s">
        <v>469</v>
      </c>
      <c r="CD45" s="293" t="s">
        <v>469</v>
      </c>
      <c r="CE45" s="293" t="s">
        <v>469</v>
      </c>
      <c r="CF45" s="293" t="s">
        <v>469</v>
      </c>
      <c r="CG45" s="294" t="s">
        <v>469</v>
      </c>
      <c r="CI45" s="288" t="s">
        <v>469</v>
      </c>
      <c r="CJ45" s="292" t="s">
        <v>469</v>
      </c>
      <c r="CK45" s="293" t="s">
        <v>469</v>
      </c>
      <c r="CL45" s="293" t="s">
        <v>469</v>
      </c>
      <c r="CM45" s="293" t="s">
        <v>469</v>
      </c>
      <c r="CN45" s="293" t="s">
        <v>469</v>
      </c>
      <c r="CO45" s="294" t="s">
        <v>469</v>
      </c>
      <c r="CQ45" s="295" t="e">
        <v>#REF!</v>
      </c>
      <c r="CR45" s="209" t="e">
        <v>#REF!</v>
      </c>
    </row>
    <row r="46" spans="2:96" ht="11.25">
      <c r="B46" s="419"/>
      <c r="C46" s="403" t="s">
        <v>359</v>
      </c>
      <c r="D46" s="420"/>
      <c r="E46" s="427"/>
      <c r="F46" s="415"/>
      <c r="G46" s="428">
        <v>0.9678169018343685</v>
      </c>
      <c r="H46" s="348">
        <v>384052200</v>
      </c>
      <c r="I46" s="347">
        <v>0</v>
      </c>
      <c r="J46" s="326"/>
      <c r="K46" s="210"/>
      <c r="M46" s="209" t="e">
        <v>#REF!</v>
      </c>
      <c r="O46" s="344">
        <v>3900</v>
      </c>
      <c r="P46" s="345" t="s">
        <v>360</v>
      </c>
      <c r="Q46" s="244"/>
      <c r="R46" s="245"/>
      <c r="S46" s="285">
        <v>560000</v>
      </c>
      <c r="T46" s="286">
        <v>1.1148272017837235</v>
      </c>
      <c r="U46" s="287">
        <v>624303.2329988852</v>
      </c>
      <c r="V46" s="208" t="s">
        <v>287</v>
      </c>
      <c r="W46" s="248" t="s">
        <v>283</v>
      </c>
      <c r="X46" s="271" t="s">
        <v>469</v>
      </c>
      <c r="Y46" s="271" t="s">
        <v>469</v>
      </c>
      <c r="Z46" s="271" t="s">
        <v>469</v>
      </c>
      <c r="AA46" s="271" t="s">
        <v>469</v>
      </c>
      <c r="AB46" s="271" t="s">
        <v>469</v>
      </c>
      <c r="AC46" s="272" t="e">
        <v>#REF!</v>
      </c>
      <c r="AE46" s="288" t="s">
        <v>469</v>
      </c>
      <c r="AF46" s="292" t="s">
        <v>469</v>
      </c>
      <c r="AG46" s="293" t="s">
        <v>469</v>
      </c>
      <c r="AH46" s="293" t="s">
        <v>469</v>
      </c>
      <c r="AI46" s="293" t="s">
        <v>469</v>
      </c>
      <c r="AJ46" s="293" t="s">
        <v>469</v>
      </c>
      <c r="AK46" s="294" t="s">
        <v>469</v>
      </c>
      <c r="AM46" s="288" t="s">
        <v>469</v>
      </c>
      <c r="AN46" s="292" t="s">
        <v>469</v>
      </c>
      <c r="AO46" s="293" t="s">
        <v>469</v>
      </c>
      <c r="AP46" s="293" t="s">
        <v>469</v>
      </c>
      <c r="AQ46" s="293" t="s">
        <v>469</v>
      </c>
      <c r="AR46" s="293" t="s">
        <v>469</v>
      </c>
      <c r="AS46" s="294" t="s">
        <v>469</v>
      </c>
      <c r="AU46" s="288" t="s">
        <v>469</v>
      </c>
      <c r="AV46" s="292" t="s">
        <v>469</v>
      </c>
      <c r="AW46" s="293" t="s">
        <v>469</v>
      </c>
      <c r="AX46" s="293" t="s">
        <v>469</v>
      </c>
      <c r="AY46" s="293" t="s">
        <v>469</v>
      </c>
      <c r="AZ46" s="293" t="s">
        <v>469</v>
      </c>
      <c r="BA46" s="294" t="s">
        <v>469</v>
      </c>
      <c r="BC46" s="288">
        <v>624303.2329988852</v>
      </c>
      <c r="BD46" s="292" t="s">
        <v>469</v>
      </c>
      <c r="BE46" s="293" t="s">
        <v>469</v>
      </c>
      <c r="BF46" s="293" t="s">
        <v>469</v>
      </c>
      <c r="BG46" s="293" t="s">
        <v>469</v>
      </c>
      <c r="BH46" s="293" t="s">
        <v>469</v>
      </c>
      <c r="BI46" s="294" t="e">
        <v>#REF!</v>
      </c>
      <c r="BK46" s="288" t="s">
        <v>469</v>
      </c>
      <c r="BL46" s="292" t="s">
        <v>469</v>
      </c>
      <c r="BM46" s="293" t="s">
        <v>469</v>
      </c>
      <c r="BN46" s="293" t="s">
        <v>469</v>
      </c>
      <c r="BO46" s="293" t="s">
        <v>469</v>
      </c>
      <c r="BP46" s="293" t="s">
        <v>469</v>
      </c>
      <c r="BQ46" s="294" t="s">
        <v>469</v>
      </c>
      <c r="BS46" s="288" t="s">
        <v>469</v>
      </c>
      <c r="BT46" s="292" t="s">
        <v>469</v>
      </c>
      <c r="BU46" s="293" t="s">
        <v>469</v>
      </c>
      <c r="BV46" s="293" t="s">
        <v>469</v>
      </c>
      <c r="BW46" s="293" t="s">
        <v>469</v>
      </c>
      <c r="BX46" s="293" t="s">
        <v>469</v>
      </c>
      <c r="BY46" s="294" t="s">
        <v>469</v>
      </c>
      <c r="CA46" s="288" t="s">
        <v>469</v>
      </c>
      <c r="CB46" s="292" t="s">
        <v>469</v>
      </c>
      <c r="CC46" s="293" t="s">
        <v>469</v>
      </c>
      <c r="CD46" s="293" t="s">
        <v>469</v>
      </c>
      <c r="CE46" s="293" t="s">
        <v>469</v>
      </c>
      <c r="CF46" s="293" t="s">
        <v>469</v>
      </c>
      <c r="CG46" s="294" t="s">
        <v>469</v>
      </c>
      <c r="CI46" s="288" t="s">
        <v>469</v>
      </c>
      <c r="CJ46" s="292" t="s">
        <v>469</v>
      </c>
      <c r="CK46" s="293" t="s">
        <v>469</v>
      </c>
      <c r="CL46" s="293" t="s">
        <v>469</v>
      </c>
      <c r="CM46" s="293" t="s">
        <v>469</v>
      </c>
      <c r="CN46" s="293" t="s">
        <v>469</v>
      </c>
      <c r="CO46" s="294" t="s">
        <v>469</v>
      </c>
      <c r="CQ46" s="295" t="e">
        <v>#REF!</v>
      </c>
      <c r="CR46" s="209" t="e">
        <v>#REF!</v>
      </c>
    </row>
    <row r="47" spans="2:96" ht="15.75" customHeight="1">
      <c r="B47" s="403"/>
      <c r="C47" s="403" t="s">
        <v>361</v>
      </c>
      <c r="D47" s="403">
        <v>2011</v>
      </c>
      <c r="E47" s="415"/>
      <c r="F47" s="415">
        <v>9.059890410958904</v>
      </c>
      <c r="G47" s="401"/>
      <c r="H47" s="348">
        <v>396823200</v>
      </c>
      <c r="I47" s="348">
        <v>0</v>
      </c>
      <c r="J47" s="326"/>
      <c r="M47" s="209"/>
      <c r="O47" s="298"/>
      <c r="P47" s="244"/>
      <c r="Q47" s="244"/>
      <c r="R47" s="245"/>
      <c r="S47" s="243"/>
      <c r="T47" s="246"/>
      <c r="U47" s="247"/>
      <c r="W47" s="248"/>
      <c r="X47" s="271" t="s">
        <v>469</v>
      </c>
      <c r="Y47" s="271" t="s">
        <v>469</v>
      </c>
      <c r="Z47" s="271" t="s">
        <v>469</v>
      </c>
      <c r="AA47" s="271" t="s">
        <v>469</v>
      </c>
      <c r="AB47" s="271" t="s">
        <v>469</v>
      </c>
      <c r="AC47" s="272" t="s">
        <v>469</v>
      </c>
      <c r="AE47" s="288" t="s">
        <v>469</v>
      </c>
      <c r="AF47" s="292" t="s">
        <v>469</v>
      </c>
      <c r="AG47" s="293" t="s">
        <v>469</v>
      </c>
      <c r="AH47" s="293" t="s">
        <v>469</v>
      </c>
      <c r="AI47" s="293" t="s">
        <v>469</v>
      </c>
      <c r="AJ47" s="293" t="s">
        <v>469</v>
      </c>
      <c r="AK47" s="294" t="s">
        <v>469</v>
      </c>
      <c r="AM47" s="288" t="s">
        <v>469</v>
      </c>
      <c r="AN47" s="292" t="s">
        <v>469</v>
      </c>
      <c r="AO47" s="293" t="s">
        <v>469</v>
      </c>
      <c r="AP47" s="293" t="s">
        <v>469</v>
      </c>
      <c r="AQ47" s="293" t="s">
        <v>469</v>
      </c>
      <c r="AR47" s="293" t="s">
        <v>469</v>
      </c>
      <c r="AS47" s="294" t="s">
        <v>469</v>
      </c>
      <c r="AU47" s="288" t="s">
        <v>469</v>
      </c>
      <c r="AV47" s="292" t="s">
        <v>469</v>
      </c>
      <c r="AW47" s="293" t="s">
        <v>469</v>
      </c>
      <c r="AX47" s="293" t="s">
        <v>469</v>
      </c>
      <c r="AY47" s="293" t="s">
        <v>469</v>
      </c>
      <c r="AZ47" s="293" t="s">
        <v>469</v>
      </c>
      <c r="BA47" s="294" t="s">
        <v>469</v>
      </c>
      <c r="BC47" s="288" t="s">
        <v>469</v>
      </c>
      <c r="BD47" s="292" t="s">
        <v>469</v>
      </c>
      <c r="BE47" s="293" t="s">
        <v>469</v>
      </c>
      <c r="BF47" s="293" t="s">
        <v>469</v>
      </c>
      <c r="BG47" s="293" t="s">
        <v>469</v>
      </c>
      <c r="BH47" s="293" t="s">
        <v>469</v>
      </c>
      <c r="BI47" s="294" t="s">
        <v>469</v>
      </c>
      <c r="BK47" s="288" t="s">
        <v>469</v>
      </c>
      <c r="BL47" s="292" t="s">
        <v>469</v>
      </c>
      <c r="BM47" s="293" t="s">
        <v>469</v>
      </c>
      <c r="BN47" s="293" t="s">
        <v>469</v>
      </c>
      <c r="BO47" s="293" t="s">
        <v>469</v>
      </c>
      <c r="BP47" s="293" t="s">
        <v>469</v>
      </c>
      <c r="BQ47" s="294" t="s">
        <v>469</v>
      </c>
      <c r="BS47" s="288" t="s">
        <v>469</v>
      </c>
      <c r="BT47" s="292" t="s">
        <v>469</v>
      </c>
      <c r="BU47" s="293" t="s">
        <v>469</v>
      </c>
      <c r="BV47" s="293" t="s">
        <v>469</v>
      </c>
      <c r="BW47" s="293" t="s">
        <v>469</v>
      </c>
      <c r="BX47" s="293" t="s">
        <v>469</v>
      </c>
      <c r="BY47" s="294" t="s">
        <v>469</v>
      </c>
      <c r="CA47" s="288" t="s">
        <v>469</v>
      </c>
      <c r="CB47" s="292" t="s">
        <v>469</v>
      </c>
      <c r="CC47" s="293" t="s">
        <v>469</v>
      </c>
      <c r="CD47" s="293" t="s">
        <v>469</v>
      </c>
      <c r="CE47" s="293" t="s">
        <v>469</v>
      </c>
      <c r="CF47" s="293" t="s">
        <v>469</v>
      </c>
      <c r="CG47" s="294" t="s">
        <v>469</v>
      </c>
      <c r="CI47" s="288" t="s">
        <v>469</v>
      </c>
      <c r="CJ47" s="292" t="s">
        <v>469</v>
      </c>
      <c r="CK47" s="293" t="s">
        <v>469</v>
      </c>
      <c r="CL47" s="293" t="s">
        <v>469</v>
      </c>
      <c r="CM47" s="293" t="s">
        <v>469</v>
      </c>
      <c r="CN47" s="293" t="s">
        <v>469</v>
      </c>
      <c r="CO47" s="294" t="s">
        <v>469</v>
      </c>
      <c r="CQ47" s="295"/>
      <c r="CR47" s="209" t="s">
        <v>469</v>
      </c>
    </row>
    <row r="48" spans="2:99" ht="15.75" customHeight="1">
      <c r="B48" s="403"/>
      <c r="C48" s="403"/>
      <c r="D48" s="403"/>
      <c r="E48" s="416"/>
      <c r="F48" s="352"/>
      <c r="G48" s="401"/>
      <c r="H48" s="348"/>
      <c r="I48" s="322"/>
      <c r="J48" s="210"/>
      <c r="M48" s="263" t="e">
        <v>#REF!</v>
      </c>
      <c r="N48" s="207" t="s">
        <v>470</v>
      </c>
      <c r="O48" s="264">
        <v>4000</v>
      </c>
      <c r="P48" s="302" t="s">
        <v>347</v>
      </c>
      <c r="Q48" s="244"/>
      <c r="R48" s="267"/>
      <c r="S48" s="268">
        <v>12978000</v>
      </c>
      <c r="T48" s="268"/>
      <c r="U48" s="269">
        <v>14468227.424749166</v>
      </c>
      <c r="W48" s="248"/>
      <c r="X48" s="271" t="s">
        <v>469</v>
      </c>
      <c r="Y48" s="271" t="s">
        <v>469</v>
      </c>
      <c r="Z48" s="271" t="s">
        <v>469</v>
      </c>
      <c r="AA48" s="271" t="s">
        <v>469</v>
      </c>
      <c r="AB48" s="271" t="s">
        <v>469</v>
      </c>
      <c r="AC48" s="272" t="s">
        <v>469</v>
      </c>
      <c r="AE48" s="288" t="s">
        <v>469</v>
      </c>
      <c r="AF48" s="292" t="s">
        <v>469</v>
      </c>
      <c r="AG48" s="293" t="s">
        <v>469</v>
      </c>
      <c r="AH48" s="293" t="s">
        <v>469</v>
      </c>
      <c r="AI48" s="293" t="s">
        <v>469</v>
      </c>
      <c r="AJ48" s="293" t="s">
        <v>469</v>
      </c>
      <c r="AK48" s="294" t="s">
        <v>469</v>
      </c>
      <c r="AM48" s="288" t="s">
        <v>469</v>
      </c>
      <c r="AN48" s="292" t="s">
        <v>469</v>
      </c>
      <c r="AO48" s="293" t="s">
        <v>469</v>
      </c>
      <c r="AP48" s="293" t="s">
        <v>469</v>
      </c>
      <c r="AQ48" s="293" t="s">
        <v>469</v>
      </c>
      <c r="AR48" s="293" t="s">
        <v>469</v>
      </c>
      <c r="AS48" s="294" t="s">
        <v>469</v>
      </c>
      <c r="AU48" s="288" t="s">
        <v>469</v>
      </c>
      <c r="AV48" s="292" t="s">
        <v>469</v>
      </c>
      <c r="AW48" s="293" t="s">
        <v>469</v>
      </c>
      <c r="AX48" s="293" t="s">
        <v>469</v>
      </c>
      <c r="AY48" s="293" t="s">
        <v>469</v>
      </c>
      <c r="AZ48" s="293" t="s">
        <v>469</v>
      </c>
      <c r="BA48" s="294" t="s">
        <v>469</v>
      </c>
      <c r="BC48" s="288" t="s">
        <v>469</v>
      </c>
      <c r="BD48" s="292" t="s">
        <v>469</v>
      </c>
      <c r="BE48" s="293" t="s">
        <v>469</v>
      </c>
      <c r="BF48" s="293" t="s">
        <v>469</v>
      </c>
      <c r="BG48" s="293" t="s">
        <v>469</v>
      </c>
      <c r="BH48" s="293" t="s">
        <v>469</v>
      </c>
      <c r="BI48" s="294" t="s">
        <v>469</v>
      </c>
      <c r="BK48" s="288" t="s">
        <v>469</v>
      </c>
      <c r="BL48" s="292" t="s">
        <v>469</v>
      </c>
      <c r="BM48" s="293" t="s">
        <v>469</v>
      </c>
      <c r="BN48" s="293" t="s">
        <v>469</v>
      </c>
      <c r="BO48" s="293" t="s">
        <v>469</v>
      </c>
      <c r="BP48" s="293" t="s">
        <v>469</v>
      </c>
      <c r="BQ48" s="294" t="s">
        <v>469</v>
      </c>
      <c r="BS48" s="288" t="s">
        <v>469</v>
      </c>
      <c r="BT48" s="292" t="s">
        <v>469</v>
      </c>
      <c r="BU48" s="293" t="s">
        <v>469</v>
      </c>
      <c r="BV48" s="293" t="s">
        <v>469</v>
      </c>
      <c r="BW48" s="293" t="s">
        <v>469</v>
      </c>
      <c r="BX48" s="293" t="s">
        <v>469</v>
      </c>
      <c r="BY48" s="294" t="s">
        <v>469</v>
      </c>
      <c r="CA48" s="288" t="s">
        <v>469</v>
      </c>
      <c r="CB48" s="292" t="s">
        <v>469</v>
      </c>
      <c r="CC48" s="293" t="s">
        <v>469</v>
      </c>
      <c r="CD48" s="293" t="s">
        <v>469</v>
      </c>
      <c r="CE48" s="293" t="s">
        <v>469</v>
      </c>
      <c r="CF48" s="293" t="s">
        <v>469</v>
      </c>
      <c r="CG48" s="294" t="s">
        <v>469</v>
      </c>
      <c r="CI48" s="288" t="s">
        <v>469</v>
      </c>
      <c r="CJ48" s="292" t="s">
        <v>469</v>
      </c>
      <c r="CK48" s="293" t="s">
        <v>469</v>
      </c>
      <c r="CL48" s="293" t="s">
        <v>469</v>
      </c>
      <c r="CM48" s="293" t="s">
        <v>469</v>
      </c>
      <c r="CN48" s="293" t="s">
        <v>469</v>
      </c>
      <c r="CO48" s="294" t="s">
        <v>469</v>
      </c>
      <c r="CQ48" s="277"/>
      <c r="CR48" s="209" t="s">
        <v>469</v>
      </c>
      <c r="CT48" s="207" t="s">
        <v>468</v>
      </c>
      <c r="CU48" s="278">
        <v>21139800</v>
      </c>
    </row>
    <row r="49" spans="2:96" ht="15.75" customHeight="1">
      <c r="B49" s="403"/>
      <c r="C49" s="403" t="s">
        <v>362</v>
      </c>
      <c r="D49" s="403"/>
      <c r="E49" s="397"/>
      <c r="F49" s="416"/>
      <c r="G49" s="401"/>
      <c r="H49" s="348"/>
      <c r="I49" s="319"/>
      <c r="M49" s="209" t="e">
        <v>#REF!</v>
      </c>
      <c r="O49" s="344">
        <v>4000</v>
      </c>
      <c r="P49" s="345" t="s">
        <v>363</v>
      </c>
      <c r="Q49" s="244"/>
      <c r="R49" s="245"/>
      <c r="S49" s="285">
        <v>0</v>
      </c>
      <c r="T49" s="286">
        <v>1.1148272017837235</v>
      </c>
      <c r="U49" s="287">
        <v>0</v>
      </c>
      <c r="V49" s="208" t="s">
        <v>284</v>
      </c>
      <c r="W49" s="248" t="s">
        <v>210</v>
      </c>
      <c r="X49" s="271" t="s">
        <v>469</v>
      </c>
      <c r="Y49" s="271" t="s">
        <v>469</v>
      </c>
      <c r="Z49" s="271" t="s">
        <v>469</v>
      </c>
      <c r="AA49" s="271" t="e">
        <v>#REF!</v>
      </c>
      <c r="AB49" s="271" t="s">
        <v>469</v>
      </c>
      <c r="AC49" s="272" t="s">
        <v>469</v>
      </c>
      <c r="AE49" s="288">
        <v>0</v>
      </c>
      <c r="AF49" s="292" t="s">
        <v>469</v>
      </c>
      <c r="AG49" s="293" t="s">
        <v>469</v>
      </c>
      <c r="AH49" s="293" t="s">
        <v>469</v>
      </c>
      <c r="AI49" s="293" t="e">
        <v>#REF!</v>
      </c>
      <c r="AJ49" s="293" t="s">
        <v>469</v>
      </c>
      <c r="AK49" s="294" t="s">
        <v>469</v>
      </c>
      <c r="AM49" s="288" t="s">
        <v>469</v>
      </c>
      <c r="AN49" s="292" t="s">
        <v>469</v>
      </c>
      <c r="AO49" s="293" t="s">
        <v>469</v>
      </c>
      <c r="AP49" s="293" t="s">
        <v>469</v>
      </c>
      <c r="AQ49" s="293" t="s">
        <v>469</v>
      </c>
      <c r="AR49" s="293" t="s">
        <v>469</v>
      </c>
      <c r="AS49" s="294" t="s">
        <v>469</v>
      </c>
      <c r="AU49" s="288" t="s">
        <v>469</v>
      </c>
      <c r="AV49" s="292" t="s">
        <v>469</v>
      </c>
      <c r="AW49" s="293" t="s">
        <v>469</v>
      </c>
      <c r="AX49" s="293" t="s">
        <v>469</v>
      </c>
      <c r="AY49" s="293" t="s">
        <v>469</v>
      </c>
      <c r="AZ49" s="293" t="s">
        <v>469</v>
      </c>
      <c r="BA49" s="294" t="s">
        <v>469</v>
      </c>
      <c r="BC49" s="288" t="s">
        <v>469</v>
      </c>
      <c r="BD49" s="292" t="s">
        <v>469</v>
      </c>
      <c r="BE49" s="293" t="s">
        <v>469</v>
      </c>
      <c r="BF49" s="293" t="s">
        <v>469</v>
      </c>
      <c r="BG49" s="293" t="s">
        <v>469</v>
      </c>
      <c r="BH49" s="293" t="s">
        <v>469</v>
      </c>
      <c r="BI49" s="294" t="s">
        <v>469</v>
      </c>
      <c r="BK49" s="288" t="s">
        <v>469</v>
      </c>
      <c r="BL49" s="292" t="s">
        <v>469</v>
      </c>
      <c r="BM49" s="293" t="s">
        <v>469</v>
      </c>
      <c r="BN49" s="293" t="s">
        <v>469</v>
      </c>
      <c r="BO49" s="293" t="s">
        <v>469</v>
      </c>
      <c r="BP49" s="293" t="s">
        <v>469</v>
      </c>
      <c r="BQ49" s="294" t="s">
        <v>469</v>
      </c>
      <c r="BS49" s="288" t="s">
        <v>469</v>
      </c>
      <c r="BT49" s="292" t="s">
        <v>469</v>
      </c>
      <c r="BU49" s="293" t="s">
        <v>469</v>
      </c>
      <c r="BV49" s="293" t="s">
        <v>469</v>
      </c>
      <c r="BW49" s="293" t="s">
        <v>469</v>
      </c>
      <c r="BX49" s="293" t="s">
        <v>469</v>
      </c>
      <c r="BY49" s="294" t="s">
        <v>469</v>
      </c>
      <c r="CA49" s="288" t="s">
        <v>469</v>
      </c>
      <c r="CB49" s="292" t="s">
        <v>469</v>
      </c>
      <c r="CC49" s="293" t="s">
        <v>469</v>
      </c>
      <c r="CD49" s="293" t="s">
        <v>469</v>
      </c>
      <c r="CE49" s="293" t="s">
        <v>469</v>
      </c>
      <c r="CF49" s="293" t="s">
        <v>469</v>
      </c>
      <c r="CG49" s="294" t="s">
        <v>469</v>
      </c>
      <c r="CI49" s="288" t="s">
        <v>469</v>
      </c>
      <c r="CJ49" s="292" t="s">
        <v>469</v>
      </c>
      <c r="CK49" s="293" t="s">
        <v>469</v>
      </c>
      <c r="CL49" s="293" t="s">
        <v>469</v>
      </c>
      <c r="CM49" s="293" t="s">
        <v>469</v>
      </c>
      <c r="CN49" s="293" t="s">
        <v>469</v>
      </c>
      <c r="CO49" s="294" t="s">
        <v>469</v>
      </c>
      <c r="CQ49" s="295" t="e">
        <v>#REF!</v>
      </c>
      <c r="CR49" s="209" t="e">
        <v>#REF!</v>
      </c>
    </row>
    <row r="50" spans="2:96" ht="15.75" customHeight="1">
      <c r="B50" s="403"/>
      <c r="C50" s="403" t="s">
        <v>364</v>
      </c>
      <c r="D50" s="352">
        <v>0.103</v>
      </c>
      <c r="E50" s="352"/>
      <c r="F50" s="397"/>
      <c r="G50" s="401"/>
      <c r="H50" s="348">
        <v>45566000</v>
      </c>
      <c r="I50" s="322">
        <v>0</v>
      </c>
      <c r="J50" s="326"/>
      <c r="M50" s="209" t="e">
        <v>#REF!</v>
      </c>
      <c r="O50" s="344">
        <v>4100</v>
      </c>
      <c r="P50" s="345" t="s">
        <v>365</v>
      </c>
      <c r="Q50" s="244"/>
      <c r="R50" s="245"/>
      <c r="S50" s="285">
        <v>423000</v>
      </c>
      <c r="T50" s="286">
        <v>1.1148272017837235</v>
      </c>
      <c r="U50" s="287">
        <v>471571.90635451506</v>
      </c>
      <c r="V50" s="208" t="s">
        <v>287</v>
      </c>
      <c r="W50" s="248" t="s">
        <v>210</v>
      </c>
      <c r="X50" s="271" t="s">
        <v>469</v>
      </c>
      <c r="Y50" s="271" t="s">
        <v>469</v>
      </c>
      <c r="Z50" s="271" t="s">
        <v>469</v>
      </c>
      <c r="AA50" s="271" t="e">
        <v>#REF!</v>
      </c>
      <c r="AB50" s="271" t="s">
        <v>469</v>
      </c>
      <c r="AC50" s="272" t="s">
        <v>469</v>
      </c>
      <c r="AE50" s="288" t="s">
        <v>469</v>
      </c>
      <c r="AF50" s="292" t="s">
        <v>469</v>
      </c>
      <c r="AG50" s="293" t="s">
        <v>469</v>
      </c>
      <c r="AH50" s="293" t="s">
        <v>469</v>
      </c>
      <c r="AI50" s="293" t="s">
        <v>469</v>
      </c>
      <c r="AJ50" s="293" t="s">
        <v>469</v>
      </c>
      <c r="AK50" s="294" t="s">
        <v>469</v>
      </c>
      <c r="AM50" s="288" t="s">
        <v>469</v>
      </c>
      <c r="AN50" s="292" t="s">
        <v>469</v>
      </c>
      <c r="AO50" s="293" t="s">
        <v>469</v>
      </c>
      <c r="AP50" s="293" t="s">
        <v>469</v>
      </c>
      <c r="AQ50" s="293" t="s">
        <v>469</v>
      </c>
      <c r="AR50" s="293" t="s">
        <v>469</v>
      </c>
      <c r="AS50" s="294" t="s">
        <v>469</v>
      </c>
      <c r="AU50" s="288" t="s">
        <v>469</v>
      </c>
      <c r="AV50" s="292" t="s">
        <v>469</v>
      </c>
      <c r="AW50" s="293" t="s">
        <v>469</v>
      </c>
      <c r="AX50" s="293" t="s">
        <v>469</v>
      </c>
      <c r="AY50" s="293" t="s">
        <v>469</v>
      </c>
      <c r="AZ50" s="293" t="s">
        <v>469</v>
      </c>
      <c r="BA50" s="294" t="s">
        <v>469</v>
      </c>
      <c r="BC50" s="288">
        <v>471571.90635451506</v>
      </c>
      <c r="BD50" s="292" t="s">
        <v>469</v>
      </c>
      <c r="BE50" s="293" t="s">
        <v>469</v>
      </c>
      <c r="BF50" s="293" t="s">
        <v>469</v>
      </c>
      <c r="BG50" s="293" t="e">
        <v>#REF!</v>
      </c>
      <c r="BH50" s="293" t="s">
        <v>469</v>
      </c>
      <c r="BI50" s="294" t="s">
        <v>469</v>
      </c>
      <c r="BK50" s="288" t="s">
        <v>469</v>
      </c>
      <c r="BL50" s="292" t="s">
        <v>469</v>
      </c>
      <c r="BM50" s="293" t="s">
        <v>469</v>
      </c>
      <c r="BN50" s="293" t="s">
        <v>469</v>
      </c>
      <c r="BO50" s="293" t="s">
        <v>469</v>
      </c>
      <c r="BP50" s="293" t="s">
        <v>469</v>
      </c>
      <c r="BQ50" s="294" t="s">
        <v>469</v>
      </c>
      <c r="BS50" s="288" t="s">
        <v>469</v>
      </c>
      <c r="BT50" s="292" t="s">
        <v>469</v>
      </c>
      <c r="BU50" s="293" t="s">
        <v>469</v>
      </c>
      <c r="BV50" s="293" t="s">
        <v>469</v>
      </c>
      <c r="BW50" s="293" t="s">
        <v>469</v>
      </c>
      <c r="BX50" s="293" t="s">
        <v>469</v>
      </c>
      <c r="BY50" s="294" t="s">
        <v>469</v>
      </c>
      <c r="CA50" s="288" t="s">
        <v>469</v>
      </c>
      <c r="CB50" s="292" t="s">
        <v>469</v>
      </c>
      <c r="CC50" s="293" t="s">
        <v>469</v>
      </c>
      <c r="CD50" s="293" t="s">
        <v>469</v>
      </c>
      <c r="CE50" s="293" t="s">
        <v>469</v>
      </c>
      <c r="CF50" s="293" t="s">
        <v>469</v>
      </c>
      <c r="CG50" s="294" t="s">
        <v>469</v>
      </c>
      <c r="CI50" s="288" t="s">
        <v>469</v>
      </c>
      <c r="CJ50" s="292" t="s">
        <v>469</v>
      </c>
      <c r="CK50" s="293" t="s">
        <v>469</v>
      </c>
      <c r="CL50" s="293" t="s">
        <v>469</v>
      </c>
      <c r="CM50" s="293" t="s">
        <v>469</v>
      </c>
      <c r="CN50" s="293" t="s">
        <v>469</v>
      </c>
      <c r="CO50" s="294" t="s">
        <v>469</v>
      </c>
      <c r="CQ50" s="295" t="e">
        <v>#REF!</v>
      </c>
      <c r="CR50" s="209" t="e">
        <v>#REF!</v>
      </c>
    </row>
    <row r="51" spans="2:96" ht="15.75" customHeight="1">
      <c r="B51" s="403"/>
      <c r="C51" s="403" t="s">
        <v>366</v>
      </c>
      <c r="D51" s="352">
        <v>0</v>
      </c>
      <c r="E51" s="352">
        <v>0</v>
      </c>
      <c r="F51" s="397"/>
      <c r="G51" s="401"/>
      <c r="H51" s="348">
        <v>0</v>
      </c>
      <c r="I51" s="322">
        <v>0</v>
      </c>
      <c r="M51" s="209" t="e">
        <v>#REF!</v>
      </c>
      <c r="O51" s="344">
        <v>4110</v>
      </c>
      <c r="P51" s="345" t="s">
        <v>367</v>
      </c>
      <c r="Q51" s="244"/>
      <c r="R51" s="245"/>
      <c r="S51" s="285">
        <v>1620000</v>
      </c>
      <c r="T51" s="286">
        <v>1.1148272017837235</v>
      </c>
      <c r="U51" s="287">
        <v>1806020.066889632</v>
      </c>
      <c r="V51" s="208" t="s">
        <v>286</v>
      </c>
      <c r="W51" s="248" t="s">
        <v>280</v>
      </c>
      <c r="X51" s="271" t="s">
        <v>469</v>
      </c>
      <c r="Y51" s="271" t="e">
        <v>#REF!</v>
      </c>
      <c r="Z51" s="271" t="s">
        <v>469</v>
      </c>
      <c r="AA51" s="271" t="s">
        <v>469</v>
      </c>
      <c r="AB51" s="271" t="s">
        <v>469</v>
      </c>
      <c r="AC51" s="272" t="s">
        <v>469</v>
      </c>
      <c r="AE51" s="288" t="s">
        <v>469</v>
      </c>
      <c r="AF51" s="292" t="s">
        <v>469</v>
      </c>
      <c r="AG51" s="293" t="s">
        <v>469</v>
      </c>
      <c r="AH51" s="293" t="s">
        <v>469</v>
      </c>
      <c r="AI51" s="293" t="s">
        <v>469</v>
      </c>
      <c r="AJ51" s="293" t="s">
        <v>469</v>
      </c>
      <c r="AK51" s="294" t="s">
        <v>469</v>
      </c>
      <c r="AM51" s="288" t="s">
        <v>469</v>
      </c>
      <c r="AN51" s="292" t="s">
        <v>469</v>
      </c>
      <c r="AO51" s="293" t="s">
        <v>469</v>
      </c>
      <c r="AP51" s="293" t="s">
        <v>469</v>
      </c>
      <c r="AQ51" s="293" t="s">
        <v>469</v>
      </c>
      <c r="AR51" s="293" t="s">
        <v>469</v>
      </c>
      <c r="AS51" s="294" t="s">
        <v>469</v>
      </c>
      <c r="AU51" s="288">
        <v>1806020.066889632</v>
      </c>
      <c r="AV51" s="292" t="s">
        <v>469</v>
      </c>
      <c r="AW51" s="293" t="e">
        <v>#REF!</v>
      </c>
      <c r="AX51" s="293" t="s">
        <v>469</v>
      </c>
      <c r="AY51" s="293" t="s">
        <v>469</v>
      </c>
      <c r="AZ51" s="293" t="s">
        <v>469</v>
      </c>
      <c r="BA51" s="294" t="s">
        <v>469</v>
      </c>
      <c r="BC51" s="288" t="s">
        <v>469</v>
      </c>
      <c r="BD51" s="292" t="s">
        <v>469</v>
      </c>
      <c r="BE51" s="293" t="s">
        <v>469</v>
      </c>
      <c r="BF51" s="293" t="s">
        <v>469</v>
      </c>
      <c r="BG51" s="293" t="s">
        <v>469</v>
      </c>
      <c r="BH51" s="293" t="s">
        <v>469</v>
      </c>
      <c r="BI51" s="294" t="s">
        <v>469</v>
      </c>
      <c r="BK51" s="288" t="s">
        <v>469</v>
      </c>
      <c r="BL51" s="292" t="s">
        <v>469</v>
      </c>
      <c r="BM51" s="293" t="s">
        <v>469</v>
      </c>
      <c r="BN51" s="293" t="s">
        <v>469</v>
      </c>
      <c r="BO51" s="293" t="s">
        <v>469</v>
      </c>
      <c r="BP51" s="293" t="s">
        <v>469</v>
      </c>
      <c r="BQ51" s="294" t="s">
        <v>469</v>
      </c>
      <c r="BS51" s="288" t="s">
        <v>469</v>
      </c>
      <c r="BT51" s="292" t="s">
        <v>469</v>
      </c>
      <c r="BU51" s="293" t="s">
        <v>469</v>
      </c>
      <c r="BV51" s="293" t="s">
        <v>469</v>
      </c>
      <c r="BW51" s="293" t="s">
        <v>469</v>
      </c>
      <c r="BX51" s="293" t="s">
        <v>469</v>
      </c>
      <c r="BY51" s="294" t="s">
        <v>469</v>
      </c>
      <c r="CA51" s="288" t="s">
        <v>469</v>
      </c>
      <c r="CB51" s="292" t="s">
        <v>469</v>
      </c>
      <c r="CC51" s="293" t="s">
        <v>469</v>
      </c>
      <c r="CD51" s="293" t="s">
        <v>469</v>
      </c>
      <c r="CE51" s="293" t="s">
        <v>469</v>
      </c>
      <c r="CF51" s="293" t="s">
        <v>469</v>
      </c>
      <c r="CG51" s="294" t="s">
        <v>469</v>
      </c>
      <c r="CI51" s="288" t="s">
        <v>469</v>
      </c>
      <c r="CJ51" s="292" t="s">
        <v>469</v>
      </c>
      <c r="CK51" s="293" t="s">
        <v>469</v>
      </c>
      <c r="CL51" s="293" t="s">
        <v>469</v>
      </c>
      <c r="CM51" s="293" t="s">
        <v>469</v>
      </c>
      <c r="CN51" s="293" t="s">
        <v>469</v>
      </c>
      <c r="CO51" s="294" t="s">
        <v>469</v>
      </c>
      <c r="CQ51" s="295" t="e">
        <v>#REF!</v>
      </c>
      <c r="CR51" s="209" t="e">
        <v>#REF!</v>
      </c>
    </row>
    <row r="52" spans="2:96" ht="15.75" customHeight="1">
      <c r="B52" s="403"/>
      <c r="C52" s="403" t="s">
        <v>368</v>
      </c>
      <c r="D52" s="352">
        <v>0</v>
      </c>
      <c r="E52" s="352">
        <v>0</v>
      </c>
      <c r="F52" s="397"/>
      <c r="G52" s="401"/>
      <c r="H52" s="348">
        <v>0</v>
      </c>
      <c r="I52" s="322">
        <v>0</v>
      </c>
      <c r="J52" s="326"/>
      <c r="M52" s="209" t="e">
        <v>#REF!</v>
      </c>
      <c r="O52" s="344">
        <v>4190</v>
      </c>
      <c r="P52" s="345" t="s">
        <v>369</v>
      </c>
      <c r="Q52" s="244"/>
      <c r="R52" s="245"/>
      <c r="S52" s="285">
        <v>159000</v>
      </c>
      <c r="T52" s="286">
        <v>1.1148272017837235</v>
      </c>
      <c r="U52" s="287">
        <v>177257.52508361204</v>
      </c>
      <c r="V52" s="208" t="s">
        <v>285</v>
      </c>
      <c r="W52" s="248" t="s">
        <v>210</v>
      </c>
      <c r="X52" s="271" t="s">
        <v>469</v>
      </c>
      <c r="Y52" s="271" t="s">
        <v>469</v>
      </c>
      <c r="Z52" s="271" t="s">
        <v>469</v>
      </c>
      <c r="AA52" s="271" t="e">
        <v>#REF!</v>
      </c>
      <c r="AB52" s="271" t="s">
        <v>469</v>
      </c>
      <c r="AC52" s="272" t="s">
        <v>469</v>
      </c>
      <c r="AE52" s="288" t="s">
        <v>469</v>
      </c>
      <c r="AF52" s="292" t="s">
        <v>469</v>
      </c>
      <c r="AG52" s="293" t="s">
        <v>469</v>
      </c>
      <c r="AH52" s="293" t="s">
        <v>469</v>
      </c>
      <c r="AI52" s="293" t="s">
        <v>469</v>
      </c>
      <c r="AJ52" s="293" t="s">
        <v>469</v>
      </c>
      <c r="AK52" s="294" t="s">
        <v>469</v>
      </c>
      <c r="AM52" s="288">
        <v>177257.52508361204</v>
      </c>
      <c r="AN52" s="292" t="s">
        <v>469</v>
      </c>
      <c r="AO52" s="293" t="s">
        <v>469</v>
      </c>
      <c r="AP52" s="293" t="s">
        <v>469</v>
      </c>
      <c r="AQ52" s="293" t="e">
        <v>#REF!</v>
      </c>
      <c r="AR52" s="293" t="s">
        <v>469</v>
      </c>
      <c r="AS52" s="294" t="s">
        <v>469</v>
      </c>
      <c r="AU52" s="288" t="s">
        <v>469</v>
      </c>
      <c r="AV52" s="292" t="s">
        <v>469</v>
      </c>
      <c r="AW52" s="293" t="s">
        <v>469</v>
      </c>
      <c r="AX52" s="293" t="s">
        <v>469</v>
      </c>
      <c r="AY52" s="293" t="s">
        <v>469</v>
      </c>
      <c r="AZ52" s="293" t="s">
        <v>469</v>
      </c>
      <c r="BA52" s="294" t="s">
        <v>469</v>
      </c>
      <c r="BC52" s="288" t="s">
        <v>469</v>
      </c>
      <c r="BD52" s="292" t="s">
        <v>469</v>
      </c>
      <c r="BE52" s="293" t="s">
        <v>469</v>
      </c>
      <c r="BF52" s="293" t="s">
        <v>469</v>
      </c>
      <c r="BG52" s="293" t="s">
        <v>469</v>
      </c>
      <c r="BH52" s="293" t="s">
        <v>469</v>
      </c>
      <c r="BI52" s="294" t="s">
        <v>469</v>
      </c>
      <c r="BK52" s="288" t="s">
        <v>469</v>
      </c>
      <c r="BL52" s="292" t="s">
        <v>469</v>
      </c>
      <c r="BM52" s="293" t="s">
        <v>469</v>
      </c>
      <c r="BN52" s="293" t="s">
        <v>469</v>
      </c>
      <c r="BO52" s="293" t="s">
        <v>469</v>
      </c>
      <c r="BP52" s="293" t="s">
        <v>469</v>
      </c>
      <c r="BQ52" s="294" t="s">
        <v>469</v>
      </c>
      <c r="BS52" s="288" t="s">
        <v>469</v>
      </c>
      <c r="BT52" s="292" t="s">
        <v>469</v>
      </c>
      <c r="BU52" s="293" t="s">
        <v>469</v>
      </c>
      <c r="BV52" s="293" t="s">
        <v>469</v>
      </c>
      <c r="BW52" s="293" t="s">
        <v>469</v>
      </c>
      <c r="BX52" s="293" t="s">
        <v>469</v>
      </c>
      <c r="BY52" s="294" t="s">
        <v>469</v>
      </c>
      <c r="CA52" s="288" t="s">
        <v>469</v>
      </c>
      <c r="CB52" s="292" t="s">
        <v>469</v>
      </c>
      <c r="CC52" s="293" t="s">
        <v>469</v>
      </c>
      <c r="CD52" s="293" t="s">
        <v>469</v>
      </c>
      <c r="CE52" s="293" t="s">
        <v>469</v>
      </c>
      <c r="CF52" s="293" t="s">
        <v>469</v>
      </c>
      <c r="CG52" s="294" t="s">
        <v>469</v>
      </c>
      <c r="CI52" s="288" t="s">
        <v>469</v>
      </c>
      <c r="CJ52" s="292" t="s">
        <v>469</v>
      </c>
      <c r="CK52" s="293" t="s">
        <v>469</v>
      </c>
      <c r="CL52" s="293" t="s">
        <v>469</v>
      </c>
      <c r="CM52" s="293" t="s">
        <v>469</v>
      </c>
      <c r="CN52" s="293" t="s">
        <v>469</v>
      </c>
      <c r="CO52" s="294" t="s">
        <v>469</v>
      </c>
      <c r="CQ52" s="295" t="e">
        <v>#REF!</v>
      </c>
      <c r="CR52" s="209" t="e">
        <v>#REF!</v>
      </c>
    </row>
    <row r="53" spans="2:96" ht="15.75" customHeight="1">
      <c r="B53" s="422"/>
      <c r="C53" s="403" t="s">
        <v>370</v>
      </c>
      <c r="D53" s="352">
        <v>0</v>
      </c>
      <c r="E53" s="352">
        <v>0</v>
      </c>
      <c r="F53" s="397"/>
      <c r="G53" s="401"/>
      <c r="H53" s="348">
        <v>0</v>
      </c>
      <c r="I53" s="322">
        <v>0</v>
      </c>
      <c r="J53" s="326"/>
      <c r="M53" s="209" t="e">
        <v>#REF!</v>
      </c>
      <c r="O53" s="344">
        <v>4200</v>
      </c>
      <c r="P53" s="345" t="s">
        <v>371</v>
      </c>
      <c r="Q53" s="349"/>
      <c r="R53" s="350"/>
      <c r="S53" s="351">
        <v>36000</v>
      </c>
      <c r="T53" s="286">
        <v>1.1148272017837235</v>
      </c>
      <c r="U53" s="287">
        <v>40133.77926421405</v>
      </c>
      <c r="V53" s="208" t="s">
        <v>285</v>
      </c>
      <c r="W53" s="248" t="s">
        <v>282</v>
      </c>
      <c r="X53" s="271" t="s">
        <v>469</v>
      </c>
      <c r="Y53" s="271" t="s">
        <v>469</v>
      </c>
      <c r="Z53" s="271" t="s">
        <v>469</v>
      </c>
      <c r="AA53" s="271" t="s">
        <v>469</v>
      </c>
      <c r="AB53" s="271" t="e">
        <v>#REF!</v>
      </c>
      <c r="AC53" s="272" t="s">
        <v>469</v>
      </c>
      <c r="AE53" s="288" t="s">
        <v>469</v>
      </c>
      <c r="AF53" s="292" t="s">
        <v>469</v>
      </c>
      <c r="AG53" s="293" t="s">
        <v>469</v>
      </c>
      <c r="AH53" s="293" t="s">
        <v>469</v>
      </c>
      <c r="AI53" s="293" t="s">
        <v>469</v>
      </c>
      <c r="AJ53" s="293" t="s">
        <v>469</v>
      </c>
      <c r="AK53" s="294" t="s">
        <v>469</v>
      </c>
      <c r="AM53" s="288">
        <v>40133.77926421405</v>
      </c>
      <c r="AN53" s="292" t="s">
        <v>469</v>
      </c>
      <c r="AO53" s="293" t="s">
        <v>469</v>
      </c>
      <c r="AP53" s="293" t="s">
        <v>469</v>
      </c>
      <c r="AQ53" s="293" t="s">
        <v>469</v>
      </c>
      <c r="AR53" s="293" t="e">
        <v>#REF!</v>
      </c>
      <c r="AS53" s="294" t="s">
        <v>469</v>
      </c>
      <c r="AU53" s="288" t="s">
        <v>469</v>
      </c>
      <c r="AV53" s="292" t="s">
        <v>469</v>
      </c>
      <c r="AW53" s="293" t="s">
        <v>469</v>
      </c>
      <c r="AX53" s="293" t="s">
        <v>469</v>
      </c>
      <c r="AY53" s="293" t="s">
        <v>469</v>
      </c>
      <c r="AZ53" s="293" t="s">
        <v>469</v>
      </c>
      <c r="BA53" s="294" t="s">
        <v>469</v>
      </c>
      <c r="BC53" s="288" t="s">
        <v>469</v>
      </c>
      <c r="BD53" s="292" t="s">
        <v>469</v>
      </c>
      <c r="BE53" s="293" t="s">
        <v>469</v>
      </c>
      <c r="BF53" s="293" t="s">
        <v>469</v>
      </c>
      <c r="BG53" s="293" t="s">
        <v>469</v>
      </c>
      <c r="BH53" s="293" t="s">
        <v>469</v>
      </c>
      <c r="BI53" s="294" t="s">
        <v>469</v>
      </c>
      <c r="BK53" s="288" t="s">
        <v>469</v>
      </c>
      <c r="BL53" s="292" t="s">
        <v>469</v>
      </c>
      <c r="BM53" s="293" t="s">
        <v>469</v>
      </c>
      <c r="BN53" s="293" t="s">
        <v>469</v>
      </c>
      <c r="BO53" s="293" t="s">
        <v>469</v>
      </c>
      <c r="BP53" s="293" t="s">
        <v>469</v>
      </c>
      <c r="BQ53" s="294" t="s">
        <v>469</v>
      </c>
      <c r="BS53" s="288" t="s">
        <v>469</v>
      </c>
      <c r="BT53" s="292" t="s">
        <v>469</v>
      </c>
      <c r="BU53" s="293" t="s">
        <v>469</v>
      </c>
      <c r="BV53" s="293" t="s">
        <v>469</v>
      </c>
      <c r="BW53" s="293" t="s">
        <v>469</v>
      </c>
      <c r="BX53" s="293" t="s">
        <v>469</v>
      </c>
      <c r="BY53" s="294" t="s">
        <v>469</v>
      </c>
      <c r="CA53" s="288" t="s">
        <v>469</v>
      </c>
      <c r="CB53" s="292" t="s">
        <v>469</v>
      </c>
      <c r="CC53" s="293" t="s">
        <v>469</v>
      </c>
      <c r="CD53" s="293" t="s">
        <v>469</v>
      </c>
      <c r="CE53" s="293" t="s">
        <v>469</v>
      </c>
      <c r="CF53" s="293" t="s">
        <v>469</v>
      </c>
      <c r="CG53" s="294" t="s">
        <v>469</v>
      </c>
      <c r="CI53" s="288" t="s">
        <v>469</v>
      </c>
      <c r="CJ53" s="292" t="s">
        <v>469</v>
      </c>
      <c r="CK53" s="293" t="s">
        <v>469</v>
      </c>
      <c r="CL53" s="293" t="s">
        <v>469</v>
      </c>
      <c r="CM53" s="293" t="s">
        <v>469</v>
      </c>
      <c r="CN53" s="293" t="s">
        <v>469</v>
      </c>
      <c r="CO53" s="294" t="s">
        <v>469</v>
      </c>
      <c r="CQ53" s="295" t="e">
        <v>#REF!</v>
      </c>
      <c r="CR53" s="209" t="e">
        <v>#REF!</v>
      </c>
    </row>
    <row r="54" spans="2:96" ht="15.75" customHeight="1">
      <c r="B54" s="422"/>
      <c r="C54" s="403" t="s">
        <v>372</v>
      </c>
      <c r="D54" s="352">
        <v>0</v>
      </c>
      <c r="E54" s="352">
        <v>0</v>
      </c>
      <c r="F54" s="397"/>
      <c r="G54" s="401"/>
      <c r="H54" s="348">
        <v>0</v>
      </c>
      <c r="I54" s="322">
        <v>0</v>
      </c>
      <c r="M54" s="209" t="e">
        <v>#REF!</v>
      </c>
      <c r="O54" s="344">
        <v>4220</v>
      </c>
      <c r="P54" s="345" t="s">
        <v>373</v>
      </c>
      <c r="Q54" s="244"/>
      <c r="R54" s="245"/>
      <c r="S54" s="285">
        <v>60000</v>
      </c>
      <c r="T54" s="286">
        <v>1.1148272017837235</v>
      </c>
      <c r="U54" s="287">
        <v>66889.63210702341</v>
      </c>
      <c r="V54" s="208" t="s">
        <v>285</v>
      </c>
      <c r="W54" s="248" t="s">
        <v>279</v>
      </c>
      <c r="X54" s="271" t="e">
        <v>#REF!</v>
      </c>
      <c r="Y54" s="271" t="s">
        <v>469</v>
      </c>
      <c r="Z54" s="271" t="s">
        <v>469</v>
      </c>
      <c r="AA54" s="271" t="s">
        <v>469</v>
      </c>
      <c r="AB54" s="271" t="s">
        <v>469</v>
      </c>
      <c r="AC54" s="272" t="s">
        <v>469</v>
      </c>
      <c r="AE54" s="288" t="s">
        <v>469</v>
      </c>
      <c r="AF54" s="292" t="s">
        <v>469</v>
      </c>
      <c r="AG54" s="293" t="s">
        <v>469</v>
      </c>
      <c r="AH54" s="293" t="s">
        <v>469</v>
      </c>
      <c r="AI54" s="293" t="s">
        <v>469</v>
      </c>
      <c r="AJ54" s="293" t="s">
        <v>469</v>
      </c>
      <c r="AK54" s="294" t="s">
        <v>469</v>
      </c>
      <c r="AM54" s="288">
        <v>66889.63210702341</v>
      </c>
      <c r="AN54" s="292" t="e">
        <v>#REF!</v>
      </c>
      <c r="AO54" s="293" t="s">
        <v>469</v>
      </c>
      <c r="AP54" s="293" t="s">
        <v>469</v>
      </c>
      <c r="AQ54" s="293" t="s">
        <v>469</v>
      </c>
      <c r="AR54" s="293" t="s">
        <v>469</v>
      </c>
      <c r="AS54" s="294" t="s">
        <v>469</v>
      </c>
      <c r="AU54" s="288" t="s">
        <v>469</v>
      </c>
      <c r="AV54" s="292" t="s">
        <v>469</v>
      </c>
      <c r="AW54" s="293" t="s">
        <v>469</v>
      </c>
      <c r="AX54" s="293" t="s">
        <v>469</v>
      </c>
      <c r="AY54" s="293" t="s">
        <v>469</v>
      </c>
      <c r="AZ54" s="293" t="s">
        <v>469</v>
      </c>
      <c r="BA54" s="294" t="s">
        <v>469</v>
      </c>
      <c r="BC54" s="288" t="s">
        <v>469</v>
      </c>
      <c r="BD54" s="292" t="s">
        <v>469</v>
      </c>
      <c r="BE54" s="293" t="s">
        <v>469</v>
      </c>
      <c r="BF54" s="293" t="s">
        <v>469</v>
      </c>
      <c r="BG54" s="293" t="s">
        <v>469</v>
      </c>
      <c r="BH54" s="293" t="s">
        <v>469</v>
      </c>
      <c r="BI54" s="294" t="s">
        <v>469</v>
      </c>
      <c r="BK54" s="288" t="s">
        <v>469</v>
      </c>
      <c r="BL54" s="292" t="s">
        <v>469</v>
      </c>
      <c r="BM54" s="293" t="s">
        <v>469</v>
      </c>
      <c r="BN54" s="293" t="s">
        <v>469</v>
      </c>
      <c r="BO54" s="293" t="s">
        <v>469</v>
      </c>
      <c r="BP54" s="293" t="s">
        <v>469</v>
      </c>
      <c r="BQ54" s="294" t="s">
        <v>469</v>
      </c>
      <c r="BS54" s="288" t="s">
        <v>469</v>
      </c>
      <c r="BT54" s="292" t="s">
        <v>469</v>
      </c>
      <c r="BU54" s="293" t="s">
        <v>469</v>
      </c>
      <c r="BV54" s="293" t="s">
        <v>469</v>
      </c>
      <c r="BW54" s="293" t="s">
        <v>469</v>
      </c>
      <c r="BX54" s="293" t="s">
        <v>469</v>
      </c>
      <c r="BY54" s="294" t="s">
        <v>469</v>
      </c>
      <c r="CA54" s="288" t="s">
        <v>469</v>
      </c>
      <c r="CB54" s="292" t="s">
        <v>469</v>
      </c>
      <c r="CC54" s="293" t="s">
        <v>469</v>
      </c>
      <c r="CD54" s="293" t="s">
        <v>469</v>
      </c>
      <c r="CE54" s="293" t="s">
        <v>469</v>
      </c>
      <c r="CF54" s="293" t="s">
        <v>469</v>
      </c>
      <c r="CG54" s="294" t="s">
        <v>469</v>
      </c>
      <c r="CI54" s="288" t="s">
        <v>469</v>
      </c>
      <c r="CJ54" s="292" t="s">
        <v>469</v>
      </c>
      <c r="CK54" s="293" t="s">
        <v>469</v>
      </c>
      <c r="CL54" s="293" t="s">
        <v>469</v>
      </c>
      <c r="CM54" s="293" t="s">
        <v>469</v>
      </c>
      <c r="CN54" s="293" t="s">
        <v>469</v>
      </c>
      <c r="CO54" s="294" t="s">
        <v>469</v>
      </c>
      <c r="CQ54" s="295" t="e">
        <v>#REF!</v>
      </c>
      <c r="CR54" s="209" t="e">
        <v>#REF!</v>
      </c>
    </row>
    <row r="55" spans="2:97" ht="15.75" customHeight="1">
      <c r="B55" s="422"/>
      <c r="C55" s="403" t="s">
        <v>357</v>
      </c>
      <c r="D55" s="352">
        <v>0.103</v>
      </c>
      <c r="E55" s="352">
        <v>0</v>
      </c>
      <c r="F55" s="397"/>
      <c r="G55" s="401"/>
      <c r="H55" s="348">
        <v>1466460</v>
      </c>
      <c r="I55" s="322">
        <v>0</v>
      </c>
      <c r="J55" s="326"/>
      <c r="L55" s="353"/>
      <c r="M55" s="209" t="e">
        <v>#REF!</v>
      </c>
      <c r="O55" s="344">
        <v>4300</v>
      </c>
      <c r="P55" s="345" t="s">
        <v>374</v>
      </c>
      <c r="Q55" s="244"/>
      <c r="R55" s="245"/>
      <c r="S55" s="285">
        <v>0</v>
      </c>
      <c r="T55" s="286">
        <v>1.1148272017837235</v>
      </c>
      <c r="U55" s="287">
        <v>0</v>
      </c>
      <c r="V55" s="208" t="s">
        <v>285</v>
      </c>
      <c r="W55" s="248" t="s">
        <v>210</v>
      </c>
      <c r="X55" s="271" t="s">
        <v>469</v>
      </c>
      <c r="Y55" s="271" t="s">
        <v>469</v>
      </c>
      <c r="Z55" s="271" t="s">
        <v>469</v>
      </c>
      <c r="AA55" s="271" t="e">
        <v>#REF!</v>
      </c>
      <c r="AB55" s="271" t="s">
        <v>469</v>
      </c>
      <c r="AC55" s="272" t="s">
        <v>469</v>
      </c>
      <c r="AE55" s="288" t="s">
        <v>469</v>
      </c>
      <c r="AF55" s="292" t="s">
        <v>469</v>
      </c>
      <c r="AG55" s="293" t="s">
        <v>469</v>
      </c>
      <c r="AH55" s="293" t="s">
        <v>469</v>
      </c>
      <c r="AI55" s="293" t="s">
        <v>469</v>
      </c>
      <c r="AJ55" s="293" t="s">
        <v>469</v>
      </c>
      <c r="AK55" s="294" t="s">
        <v>469</v>
      </c>
      <c r="AM55" s="288">
        <v>0</v>
      </c>
      <c r="AN55" s="292" t="s">
        <v>469</v>
      </c>
      <c r="AO55" s="293" t="s">
        <v>469</v>
      </c>
      <c r="AP55" s="293" t="s">
        <v>469</v>
      </c>
      <c r="AQ55" s="293" t="e">
        <v>#REF!</v>
      </c>
      <c r="AR55" s="293" t="s">
        <v>469</v>
      </c>
      <c r="AS55" s="294" t="s">
        <v>469</v>
      </c>
      <c r="AU55" s="288" t="s">
        <v>469</v>
      </c>
      <c r="AV55" s="292" t="s">
        <v>469</v>
      </c>
      <c r="AW55" s="293" t="s">
        <v>469</v>
      </c>
      <c r="AX55" s="293" t="s">
        <v>469</v>
      </c>
      <c r="AY55" s="293" t="s">
        <v>469</v>
      </c>
      <c r="AZ55" s="293" t="s">
        <v>469</v>
      </c>
      <c r="BA55" s="294" t="s">
        <v>469</v>
      </c>
      <c r="BC55" s="288" t="s">
        <v>469</v>
      </c>
      <c r="BD55" s="292" t="s">
        <v>469</v>
      </c>
      <c r="BE55" s="293" t="s">
        <v>469</v>
      </c>
      <c r="BF55" s="293" t="s">
        <v>469</v>
      </c>
      <c r="BG55" s="293" t="s">
        <v>469</v>
      </c>
      <c r="BH55" s="293" t="s">
        <v>469</v>
      </c>
      <c r="BI55" s="294" t="s">
        <v>469</v>
      </c>
      <c r="BK55" s="288" t="s">
        <v>469</v>
      </c>
      <c r="BL55" s="292" t="s">
        <v>469</v>
      </c>
      <c r="BM55" s="293" t="s">
        <v>469</v>
      </c>
      <c r="BN55" s="293" t="s">
        <v>469</v>
      </c>
      <c r="BO55" s="293" t="s">
        <v>469</v>
      </c>
      <c r="BP55" s="293" t="s">
        <v>469</v>
      </c>
      <c r="BQ55" s="294" t="s">
        <v>469</v>
      </c>
      <c r="BS55" s="288" t="s">
        <v>469</v>
      </c>
      <c r="BT55" s="292" t="s">
        <v>469</v>
      </c>
      <c r="BU55" s="293" t="s">
        <v>469</v>
      </c>
      <c r="BV55" s="293" t="s">
        <v>469</v>
      </c>
      <c r="BW55" s="293" t="s">
        <v>469</v>
      </c>
      <c r="BX55" s="293" t="s">
        <v>469</v>
      </c>
      <c r="BY55" s="294" t="s">
        <v>469</v>
      </c>
      <c r="CA55" s="288" t="s">
        <v>469</v>
      </c>
      <c r="CB55" s="292" t="s">
        <v>469</v>
      </c>
      <c r="CC55" s="293" t="s">
        <v>469</v>
      </c>
      <c r="CD55" s="293" t="s">
        <v>469</v>
      </c>
      <c r="CE55" s="293" t="s">
        <v>469</v>
      </c>
      <c r="CF55" s="293" t="s">
        <v>469</v>
      </c>
      <c r="CG55" s="294" t="s">
        <v>469</v>
      </c>
      <c r="CI55" s="288" t="s">
        <v>469</v>
      </c>
      <c r="CJ55" s="292" t="s">
        <v>469</v>
      </c>
      <c r="CK55" s="293" t="s">
        <v>469</v>
      </c>
      <c r="CL55" s="293" t="s">
        <v>469</v>
      </c>
      <c r="CM55" s="293" t="s">
        <v>469</v>
      </c>
      <c r="CN55" s="293" t="s">
        <v>469</v>
      </c>
      <c r="CO55" s="294" t="s">
        <v>469</v>
      </c>
      <c r="CQ55" s="295" t="e">
        <v>#REF!</v>
      </c>
      <c r="CR55" s="209" t="e">
        <v>#REF!</v>
      </c>
      <c r="CS55" s="354"/>
    </row>
    <row r="56" spans="2:96" ht="15.75" customHeight="1">
      <c r="B56" s="403"/>
      <c r="C56" s="403" t="s">
        <v>359</v>
      </c>
      <c r="D56" s="355">
        <v>0.103</v>
      </c>
      <c r="E56" s="355">
        <v>0</v>
      </c>
      <c r="F56" s="416"/>
      <c r="G56" s="401"/>
      <c r="H56" s="348">
        <v>44099640</v>
      </c>
      <c r="I56" s="322">
        <v>0</v>
      </c>
      <c r="J56" s="210"/>
      <c r="M56" s="209" t="e">
        <v>#REF!</v>
      </c>
      <c r="O56" s="310">
        <v>4400</v>
      </c>
      <c r="P56" s="335" t="s">
        <v>375</v>
      </c>
      <c r="Q56" s="244"/>
      <c r="R56" s="245"/>
      <c r="S56" s="285">
        <v>600000</v>
      </c>
      <c r="T56" s="286">
        <v>1.1148272017837235</v>
      </c>
      <c r="U56" s="287">
        <v>668896.3210702341</v>
      </c>
      <c r="V56" s="208" t="s">
        <v>285</v>
      </c>
      <c r="W56" s="248" t="s">
        <v>283</v>
      </c>
      <c r="X56" s="271" t="s">
        <v>469</v>
      </c>
      <c r="Y56" s="271" t="s">
        <v>469</v>
      </c>
      <c r="Z56" s="271" t="s">
        <v>469</v>
      </c>
      <c r="AA56" s="271" t="s">
        <v>469</v>
      </c>
      <c r="AB56" s="271" t="s">
        <v>469</v>
      </c>
      <c r="AC56" s="272" t="e">
        <v>#REF!</v>
      </c>
      <c r="AE56" s="288" t="s">
        <v>469</v>
      </c>
      <c r="AF56" s="292" t="s">
        <v>469</v>
      </c>
      <c r="AG56" s="293" t="s">
        <v>469</v>
      </c>
      <c r="AH56" s="293" t="s">
        <v>469</v>
      </c>
      <c r="AI56" s="293" t="s">
        <v>469</v>
      </c>
      <c r="AJ56" s="293" t="s">
        <v>469</v>
      </c>
      <c r="AK56" s="294" t="s">
        <v>469</v>
      </c>
      <c r="AM56" s="288">
        <v>668896.3210702341</v>
      </c>
      <c r="AN56" s="292" t="s">
        <v>469</v>
      </c>
      <c r="AO56" s="293" t="s">
        <v>469</v>
      </c>
      <c r="AP56" s="293" t="s">
        <v>469</v>
      </c>
      <c r="AQ56" s="293" t="s">
        <v>469</v>
      </c>
      <c r="AR56" s="293" t="s">
        <v>469</v>
      </c>
      <c r="AS56" s="294" t="e">
        <v>#REF!</v>
      </c>
      <c r="AU56" s="288" t="s">
        <v>469</v>
      </c>
      <c r="AV56" s="292" t="s">
        <v>469</v>
      </c>
      <c r="AW56" s="293" t="s">
        <v>469</v>
      </c>
      <c r="AX56" s="293" t="s">
        <v>469</v>
      </c>
      <c r="AY56" s="293" t="s">
        <v>469</v>
      </c>
      <c r="AZ56" s="293" t="s">
        <v>469</v>
      </c>
      <c r="BA56" s="294" t="s">
        <v>469</v>
      </c>
      <c r="BC56" s="288" t="s">
        <v>469</v>
      </c>
      <c r="BD56" s="292" t="s">
        <v>469</v>
      </c>
      <c r="BE56" s="293" t="s">
        <v>469</v>
      </c>
      <c r="BF56" s="293" t="s">
        <v>469</v>
      </c>
      <c r="BG56" s="293" t="s">
        <v>469</v>
      </c>
      <c r="BH56" s="293" t="s">
        <v>469</v>
      </c>
      <c r="BI56" s="294" t="s">
        <v>469</v>
      </c>
      <c r="BK56" s="288" t="s">
        <v>469</v>
      </c>
      <c r="BL56" s="292" t="s">
        <v>469</v>
      </c>
      <c r="BM56" s="293" t="s">
        <v>469</v>
      </c>
      <c r="BN56" s="293" t="s">
        <v>469</v>
      </c>
      <c r="BO56" s="293" t="s">
        <v>469</v>
      </c>
      <c r="BP56" s="293" t="s">
        <v>469</v>
      </c>
      <c r="BQ56" s="294" t="s">
        <v>469</v>
      </c>
      <c r="BS56" s="288" t="s">
        <v>469</v>
      </c>
      <c r="BT56" s="292" t="s">
        <v>469</v>
      </c>
      <c r="BU56" s="293" t="s">
        <v>469</v>
      </c>
      <c r="BV56" s="293" t="s">
        <v>469</v>
      </c>
      <c r="BW56" s="293" t="s">
        <v>469</v>
      </c>
      <c r="BX56" s="293" t="s">
        <v>469</v>
      </c>
      <c r="BY56" s="294" t="s">
        <v>469</v>
      </c>
      <c r="CA56" s="288" t="s">
        <v>469</v>
      </c>
      <c r="CB56" s="292" t="s">
        <v>469</v>
      </c>
      <c r="CC56" s="293" t="s">
        <v>469</v>
      </c>
      <c r="CD56" s="293" t="s">
        <v>469</v>
      </c>
      <c r="CE56" s="293" t="s">
        <v>469</v>
      </c>
      <c r="CF56" s="293" t="s">
        <v>469</v>
      </c>
      <c r="CG56" s="294" t="s">
        <v>469</v>
      </c>
      <c r="CI56" s="288" t="s">
        <v>469</v>
      </c>
      <c r="CJ56" s="292" t="s">
        <v>469</v>
      </c>
      <c r="CK56" s="293" t="s">
        <v>469</v>
      </c>
      <c r="CL56" s="293" t="s">
        <v>469</v>
      </c>
      <c r="CM56" s="293" t="s">
        <v>469</v>
      </c>
      <c r="CN56" s="293" t="s">
        <v>469</v>
      </c>
      <c r="CO56" s="294" t="s">
        <v>469</v>
      </c>
      <c r="CQ56" s="295" t="e">
        <v>#REF!</v>
      </c>
      <c r="CR56" s="209" t="e">
        <v>#REF!</v>
      </c>
    </row>
    <row r="57" spans="2:96" ht="15.75" customHeight="1">
      <c r="B57" s="419"/>
      <c r="C57" s="419"/>
      <c r="D57" s="419"/>
      <c r="E57" s="397"/>
      <c r="F57" s="416"/>
      <c r="G57" s="401"/>
      <c r="H57" s="348"/>
      <c r="I57" s="243"/>
      <c r="M57" s="209" t="e">
        <v>#REF!</v>
      </c>
      <c r="O57" s="344">
        <v>4500</v>
      </c>
      <c r="P57" s="345" t="s">
        <v>376</v>
      </c>
      <c r="Q57" s="244"/>
      <c r="R57" s="245"/>
      <c r="S57" s="285">
        <v>10080000</v>
      </c>
      <c r="T57" s="286">
        <v>1.1148272017837235</v>
      </c>
      <c r="U57" s="287">
        <v>11237458.193979934</v>
      </c>
      <c r="V57" s="208" t="s">
        <v>285</v>
      </c>
      <c r="W57" s="248" t="s">
        <v>279</v>
      </c>
      <c r="X57" s="271" t="e">
        <v>#REF!</v>
      </c>
      <c r="Y57" s="271" t="s">
        <v>469</v>
      </c>
      <c r="Z57" s="271" t="s">
        <v>469</v>
      </c>
      <c r="AA57" s="271" t="s">
        <v>469</v>
      </c>
      <c r="AB57" s="271" t="s">
        <v>469</v>
      </c>
      <c r="AC57" s="272" t="s">
        <v>469</v>
      </c>
      <c r="AE57" s="288" t="s">
        <v>469</v>
      </c>
      <c r="AF57" s="292" t="s">
        <v>469</v>
      </c>
      <c r="AG57" s="293" t="s">
        <v>469</v>
      </c>
      <c r="AH57" s="293" t="s">
        <v>469</v>
      </c>
      <c r="AI57" s="293" t="s">
        <v>469</v>
      </c>
      <c r="AJ57" s="293" t="s">
        <v>469</v>
      </c>
      <c r="AK57" s="294" t="s">
        <v>469</v>
      </c>
      <c r="AM57" s="288">
        <v>11237458.193979934</v>
      </c>
      <c r="AN57" s="292" t="e">
        <v>#REF!</v>
      </c>
      <c r="AO57" s="293" t="s">
        <v>469</v>
      </c>
      <c r="AP57" s="293" t="s">
        <v>469</v>
      </c>
      <c r="AQ57" s="293" t="s">
        <v>469</v>
      </c>
      <c r="AR57" s="293" t="s">
        <v>469</v>
      </c>
      <c r="AS57" s="294" t="s">
        <v>469</v>
      </c>
      <c r="AU57" s="288" t="s">
        <v>469</v>
      </c>
      <c r="AV57" s="292" t="s">
        <v>469</v>
      </c>
      <c r="AW57" s="293" t="s">
        <v>469</v>
      </c>
      <c r="AX57" s="293" t="s">
        <v>469</v>
      </c>
      <c r="AY57" s="293" t="s">
        <v>469</v>
      </c>
      <c r="AZ57" s="293" t="s">
        <v>469</v>
      </c>
      <c r="BA57" s="294" t="s">
        <v>469</v>
      </c>
      <c r="BC57" s="288" t="s">
        <v>469</v>
      </c>
      <c r="BD57" s="292" t="s">
        <v>469</v>
      </c>
      <c r="BE57" s="293" t="s">
        <v>469</v>
      </c>
      <c r="BF57" s="293" t="s">
        <v>469</v>
      </c>
      <c r="BG57" s="293" t="s">
        <v>469</v>
      </c>
      <c r="BH57" s="293" t="s">
        <v>469</v>
      </c>
      <c r="BI57" s="294" t="s">
        <v>469</v>
      </c>
      <c r="BK57" s="288" t="s">
        <v>469</v>
      </c>
      <c r="BL57" s="292" t="s">
        <v>469</v>
      </c>
      <c r="BM57" s="293" t="s">
        <v>469</v>
      </c>
      <c r="BN57" s="293" t="s">
        <v>469</v>
      </c>
      <c r="BO57" s="293" t="s">
        <v>469</v>
      </c>
      <c r="BP57" s="293" t="s">
        <v>469</v>
      </c>
      <c r="BQ57" s="294" t="s">
        <v>469</v>
      </c>
      <c r="BS57" s="288" t="s">
        <v>469</v>
      </c>
      <c r="BT57" s="292" t="s">
        <v>469</v>
      </c>
      <c r="BU57" s="293" t="s">
        <v>469</v>
      </c>
      <c r="BV57" s="293" t="s">
        <v>469</v>
      </c>
      <c r="BW57" s="293" t="s">
        <v>469</v>
      </c>
      <c r="BX57" s="293" t="s">
        <v>469</v>
      </c>
      <c r="BY57" s="294" t="s">
        <v>469</v>
      </c>
      <c r="CA57" s="288" t="s">
        <v>469</v>
      </c>
      <c r="CB57" s="292" t="s">
        <v>469</v>
      </c>
      <c r="CC57" s="293" t="s">
        <v>469</v>
      </c>
      <c r="CD57" s="293" t="s">
        <v>469</v>
      </c>
      <c r="CE57" s="293" t="s">
        <v>469</v>
      </c>
      <c r="CF57" s="293" t="s">
        <v>469</v>
      </c>
      <c r="CG57" s="294" t="s">
        <v>469</v>
      </c>
      <c r="CI57" s="288" t="s">
        <v>469</v>
      </c>
      <c r="CJ57" s="292" t="s">
        <v>469</v>
      </c>
      <c r="CK57" s="293" t="s">
        <v>469</v>
      </c>
      <c r="CL57" s="293" t="s">
        <v>469</v>
      </c>
      <c r="CM57" s="293" t="s">
        <v>469</v>
      </c>
      <c r="CN57" s="293" t="s">
        <v>469</v>
      </c>
      <c r="CO57" s="294" t="s">
        <v>469</v>
      </c>
      <c r="CQ57" s="295" t="e">
        <v>#REF!</v>
      </c>
      <c r="CR57" s="209" t="e">
        <v>#REF!</v>
      </c>
    </row>
    <row r="58" spans="2:96" ht="11.25">
      <c r="B58" s="419"/>
      <c r="C58" s="419"/>
      <c r="D58" s="419"/>
      <c r="E58" s="397"/>
      <c r="F58" s="416"/>
      <c r="G58" s="401"/>
      <c r="H58" s="348"/>
      <c r="I58" s="243"/>
      <c r="M58" s="209" t="e">
        <v>#REF!</v>
      </c>
      <c r="O58" s="264">
        <v>4510</v>
      </c>
      <c r="P58" s="342" t="s">
        <v>377</v>
      </c>
      <c r="Q58" s="244"/>
      <c r="R58" s="245"/>
      <c r="S58" s="285">
        <v>0</v>
      </c>
      <c r="T58" s="286">
        <v>1.1148272017837235</v>
      </c>
      <c r="U58" s="287">
        <v>0</v>
      </c>
      <c r="V58" s="208" t="s">
        <v>285</v>
      </c>
      <c r="W58" s="248" t="s">
        <v>282</v>
      </c>
      <c r="X58" s="271" t="s">
        <v>469</v>
      </c>
      <c r="Y58" s="271" t="s">
        <v>469</v>
      </c>
      <c r="Z58" s="271" t="s">
        <v>469</v>
      </c>
      <c r="AA58" s="271" t="s">
        <v>469</v>
      </c>
      <c r="AB58" s="271" t="e">
        <v>#REF!</v>
      </c>
      <c r="AC58" s="272" t="s">
        <v>469</v>
      </c>
      <c r="AE58" s="288" t="s">
        <v>469</v>
      </c>
      <c r="AF58" s="292" t="s">
        <v>469</v>
      </c>
      <c r="AG58" s="293" t="s">
        <v>469</v>
      </c>
      <c r="AH58" s="293" t="s">
        <v>469</v>
      </c>
      <c r="AI58" s="293" t="s">
        <v>469</v>
      </c>
      <c r="AJ58" s="293" t="s">
        <v>469</v>
      </c>
      <c r="AK58" s="294" t="s">
        <v>469</v>
      </c>
      <c r="AM58" s="288">
        <v>0</v>
      </c>
      <c r="AN58" s="292" t="s">
        <v>469</v>
      </c>
      <c r="AO58" s="293" t="s">
        <v>469</v>
      </c>
      <c r="AP58" s="293" t="s">
        <v>469</v>
      </c>
      <c r="AQ58" s="293" t="s">
        <v>469</v>
      </c>
      <c r="AR58" s="293" t="e">
        <v>#REF!</v>
      </c>
      <c r="AS58" s="294" t="s">
        <v>469</v>
      </c>
      <c r="AU58" s="288" t="s">
        <v>469</v>
      </c>
      <c r="AV58" s="292" t="s">
        <v>469</v>
      </c>
      <c r="AW58" s="293" t="s">
        <v>469</v>
      </c>
      <c r="AX58" s="293" t="s">
        <v>469</v>
      </c>
      <c r="AY58" s="293" t="s">
        <v>469</v>
      </c>
      <c r="AZ58" s="293" t="s">
        <v>469</v>
      </c>
      <c r="BA58" s="294" t="s">
        <v>469</v>
      </c>
      <c r="BC58" s="288" t="s">
        <v>469</v>
      </c>
      <c r="BD58" s="292" t="s">
        <v>469</v>
      </c>
      <c r="BE58" s="293" t="s">
        <v>469</v>
      </c>
      <c r="BF58" s="293" t="s">
        <v>469</v>
      </c>
      <c r="BG58" s="293" t="s">
        <v>469</v>
      </c>
      <c r="BH58" s="293" t="s">
        <v>469</v>
      </c>
      <c r="BI58" s="294" t="s">
        <v>469</v>
      </c>
      <c r="BK58" s="288" t="s">
        <v>469</v>
      </c>
      <c r="BL58" s="292" t="s">
        <v>469</v>
      </c>
      <c r="BM58" s="293" t="s">
        <v>469</v>
      </c>
      <c r="BN58" s="293" t="s">
        <v>469</v>
      </c>
      <c r="BO58" s="293" t="s">
        <v>469</v>
      </c>
      <c r="BP58" s="293" t="s">
        <v>469</v>
      </c>
      <c r="BQ58" s="294" t="s">
        <v>469</v>
      </c>
      <c r="BS58" s="288" t="s">
        <v>469</v>
      </c>
      <c r="BT58" s="292" t="s">
        <v>469</v>
      </c>
      <c r="BU58" s="293" t="s">
        <v>469</v>
      </c>
      <c r="BV58" s="293" t="s">
        <v>469</v>
      </c>
      <c r="BW58" s="293" t="s">
        <v>469</v>
      </c>
      <c r="BX58" s="293" t="s">
        <v>469</v>
      </c>
      <c r="BY58" s="294" t="s">
        <v>469</v>
      </c>
      <c r="CA58" s="288" t="s">
        <v>469</v>
      </c>
      <c r="CB58" s="292" t="s">
        <v>469</v>
      </c>
      <c r="CC58" s="293" t="s">
        <v>469</v>
      </c>
      <c r="CD58" s="293" t="s">
        <v>469</v>
      </c>
      <c r="CE58" s="293" t="s">
        <v>469</v>
      </c>
      <c r="CF58" s="293" t="s">
        <v>469</v>
      </c>
      <c r="CG58" s="294" t="s">
        <v>469</v>
      </c>
      <c r="CI58" s="288" t="s">
        <v>469</v>
      </c>
      <c r="CJ58" s="292" t="s">
        <v>469</v>
      </c>
      <c r="CK58" s="293" t="s">
        <v>469</v>
      </c>
      <c r="CL58" s="293" t="s">
        <v>469</v>
      </c>
      <c r="CM58" s="293" t="s">
        <v>469</v>
      </c>
      <c r="CN58" s="293" t="s">
        <v>469</v>
      </c>
      <c r="CO58" s="294" t="s">
        <v>469</v>
      </c>
      <c r="CQ58" s="295" t="e">
        <v>#REF!</v>
      </c>
      <c r="CR58" s="209" t="e">
        <v>#REF!</v>
      </c>
    </row>
    <row r="59" spans="2:100" s="325" customFormat="1" ht="15.75" customHeight="1">
      <c r="B59" s="403"/>
      <c r="C59" s="403" t="s">
        <v>378</v>
      </c>
      <c r="D59" s="430" t="s">
        <v>379</v>
      </c>
      <c r="E59" s="397"/>
      <c r="F59" s="416"/>
      <c r="G59" s="401"/>
      <c r="H59" s="348">
        <v>14237460</v>
      </c>
      <c r="I59" s="348">
        <v>0</v>
      </c>
      <c r="J59" s="207"/>
      <c r="K59" s="353"/>
      <c r="L59" s="207"/>
      <c r="M59" s="209"/>
      <c r="N59" s="207"/>
      <c r="O59" s="298"/>
      <c r="P59" s="244"/>
      <c r="Q59" s="244"/>
      <c r="R59" s="245"/>
      <c r="S59" s="243"/>
      <c r="T59" s="246"/>
      <c r="U59" s="247"/>
      <c r="V59" s="356"/>
      <c r="W59" s="248"/>
      <c r="X59" s="271" t="s">
        <v>469</v>
      </c>
      <c r="Y59" s="271" t="s">
        <v>469</v>
      </c>
      <c r="Z59" s="271" t="s">
        <v>469</v>
      </c>
      <c r="AA59" s="271" t="s">
        <v>469</v>
      </c>
      <c r="AB59" s="271" t="s">
        <v>469</v>
      </c>
      <c r="AC59" s="272" t="s">
        <v>469</v>
      </c>
      <c r="AE59" s="288" t="s">
        <v>469</v>
      </c>
      <c r="AF59" s="292" t="s">
        <v>469</v>
      </c>
      <c r="AG59" s="293" t="s">
        <v>469</v>
      </c>
      <c r="AH59" s="293" t="s">
        <v>469</v>
      </c>
      <c r="AI59" s="293" t="s">
        <v>469</v>
      </c>
      <c r="AJ59" s="293" t="s">
        <v>469</v>
      </c>
      <c r="AK59" s="294" t="s">
        <v>469</v>
      </c>
      <c r="AM59" s="288" t="s">
        <v>469</v>
      </c>
      <c r="AN59" s="292" t="s">
        <v>469</v>
      </c>
      <c r="AO59" s="293" t="s">
        <v>469</v>
      </c>
      <c r="AP59" s="293" t="s">
        <v>469</v>
      </c>
      <c r="AQ59" s="293" t="s">
        <v>469</v>
      </c>
      <c r="AR59" s="293" t="s">
        <v>469</v>
      </c>
      <c r="AS59" s="294" t="s">
        <v>469</v>
      </c>
      <c r="AU59" s="288" t="s">
        <v>469</v>
      </c>
      <c r="AV59" s="292" t="s">
        <v>469</v>
      </c>
      <c r="AW59" s="293" t="s">
        <v>469</v>
      </c>
      <c r="AX59" s="293" t="s">
        <v>469</v>
      </c>
      <c r="AY59" s="293" t="s">
        <v>469</v>
      </c>
      <c r="AZ59" s="293" t="s">
        <v>469</v>
      </c>
      <c r="BA59" s="294" t="s">
        <v>469</v>
      </c>
      <c r="BC59" s="288" t="s">
        <v>469</v>
      </c>
      <c r="BD59" s="292" t="s">
        <v>469</v>
      </c>
      <c r="BE59" s="293" t="s">
        <v>469</v>
      </c>
      <c r="BF59" s="293" t="s">
        <v>469</v>
      </c>
      <c r="BG59" s="293" t="s">
        <v>469</v>
      </c>
      <c r="BH59" s="293" t="s">
        <v>469</v>
      </c>
      <c r="BI59" s="294" t="s">
        <v>469</v>
      </c>
      <c r="BK59" s="288" t="s">
        <v>469</v>
      </c>
      <c r="BL59" s="292" t="s">
        <v>469</v>
      </c>
      <c r="BM59" s="293" t="s">
        <v>469</v>
      </c>
      <c r="BN59" s="293" t="s">
        <v>469</v>
      </c>
      <c r="BO59" s="293" t="s">
        <v>469</v>
      </c>
      <c r="BP59" s="293" t="s">
        <v>469</v>
      </c>
      <c r="BQ59" s="294" t="s">
        <v>469</v>
      </c>
      <c r="BS59" s="288" t="s">
        <v>469</v>
      </c>
      <c r="BT59" s="292" t="s">
        <v>469</v>
      </c>
      <c r="BU59" s="293" t="s">
        <v>469</v>
      </c>
      <c r="BV59" s="293" t="s">
        <v>469</v>
      </c>
      <c r="BW59" s="293" t="s">
        <v>469</v>
      </c>
      <c r="BX59" s="293" t="s">
        <v>469</v>
      </c>
      <c r="BY59" s="294" t="s">
        <v>469</v>
      </c>
      <c r="CA59" s="288" t="s">
        <v>469</v>
      </c>
      <c r="CB59" s="292" t="s">
        <v>469</v>
      </c>
      <c r="CC59" s="293" t="s">
        <v>469</v>
      </c>
      <c r="CD59" s="293" t="s">
        <v>469</v>
      </c>
      <c r="CE59" s="293" t="s">
        <v>469</v>
      </c>
      <c r="CF59" s="293" t="s">
        <v>469</v>
      </c>
      <c r="CG59" s="294" t="s">
        <v>469</v>
      </c>
      <c r="CI59" s="288" t="s">
        <v>469</v>
      </c>
      <c r="CJ59" s="292" t="s">
        <v>469</v>
      </c>
      <c r="CK59" s="293" t="s">
        <v>469</v>
      </c>
      <c r="CL59" s="293" t="s">
        <v>469</v>
      </c>
      <c r="CM59" s="293" t="s">
        <v>469</v>
      </c>
      <c r="CN59" s="293" t="s">
        <v>469</v>
      </c>
      <c r="CO59" s="294" t="s">
        <v>469</v>
      </c>
      <c r="CQ59" s="295"/>
      <c r="CR59" s="209" t="s">
        <v>469</v>
      </c>
      <c r="CS59" s="207"/>
      <c r="CT59" s="207"/>
      <c r="CU59" s="207"/>
      <c r="CV59" s="353"/>
    </row>
    <row r="60" spans="2:100" s="325" customFormat="1" ht="15.75" customHeight="1">
      <c r="B60" s="431"/>
      <c r="C60" s="403" t="s">
        <v>380</v>
      </c>
      <c r="D60" s="431"/>
      <c r="E60" s="432"/>
      <c r="F60" s="433"/>
      <c r="G60" s="434"/>
      <c r="H60" s="348">
        <v>428151840</v>
      </c>
      <c r="I60" s="348">
        <v>0</v>
      </c>
      <c r="J60" s="353"/>
      <c r="K60" s="353"/>
      <c r="L60" s="207"/>
      <c r="M60" s="263" t="e">
        <v>#REF!</v>
      </c>
      <c r="N60" s="207" t="s">
        <v>470</v>
      </c>
      <c r="O60" s="264">
        <v>6000</v>
      </c>
      <c r="P60" s="302" t="s">
        <v>350</v>
      </c>
      <c r="Q60" s="244"/>
      <c r="R60" s="267"/>
      <c r="S60" s="268">
        <v>99129000</v>
      </c>
      <c r="T60" s="268"/>
      <c r="U60" s="269">
        <v>286638903.37486404</v>
      </c>
      <c r="V60" s="356"/>
      <c r="W60" s="248"/>
      <c r="X60" s="271" t="s">
        <v>469</v>
      </c>
      <c r="Y60" s="271" t="s">
        <v>469</v>
      </c>
      <c r="Z60" s="271" t="s">
        <v>469</v>
      </c>
      <c r="AA60" s="271" t="s">
        <v>469</v>
      </c>
      <c r="AB60" s="271" t="s">
        <v>469</v>
      </c>
      <c r="AC60" s="272" t="s">
        <v>469</v>
      </c>
      <c r="AE60" s="288" t="s">
        <v>469</v>
      </c>
      <c r="AF60" s="292" t="s">
        <v>469</v>
      </c>
      <c r="AG60" s="293" t="s">
        <v>469</v>
      </c>
      <c r="AH60" s="293" t="s">
        <v>469</v>
      </c>
      <c r="AI60" s="293" t="s">
        <v>469</v>
      </c>
      <c r="AJ60" s="293" t="s">
        <v>469</v>
      </c>
      <c r="AK60" s="294" t="s">
        <v>469</v>
      </c>
      <c r="AM60" s="288" t="s">
        <v>469</v>
      </c>
      <c r="AN60" s="292" t="s">
        <v>469</v>
      </c>
      <c r="AO60" s="293" t="s">
        <v>469</v>
      </c>
      <c r="AP60" s="293" t="s">
        <v>469</v>
      </c>
      <c r="AQ60" s="293" t="s">
        <v>469</v>
      </c>
      <c r="AR60" s="293" t="s">
        <v>469</v>
      </c>
      <c r="AS60" s="294" t="s">
        <v>469</v>
      </c>
      <c r="AU60" s="288" t="s">
        <v>469</v>
      </c>
      <c r="AV60" s="292" t="s">
        <v>469</v>
      </c>
      <c r="AW60" s="293" t="s">
        <v>469</v>
      </c>
      <c r="AX60" s="293" t="s">
        <v>469</v>
      </c>
      <c r="AY60" s="293" t="s">
        <v>469</v>
      </c>
      <c r="AZ60" s="293" t="s">
        <v>469</v>
      </c>
      <c r="BA60" s="294" t="s">
        <v>469</v>
      </c>
      <c r="BC60" s="288" t="s">
        <v>469</v>
      </c>
      <c r="BD60" s="292" t="s">
        <v>469</v>
      </c>
      <c r="BE60" s="293" t="s">
        <v>469</v>
      </c>
      <c r="BF60" s="293" t="s">
        <v>469</v>
      </c>
      <c r="BG60" s="293" t="s">
        <v>469</v>
      </c>
      <c r="BH60" s="293" t="s">
        <v>469</v>
      </c>
      <c r="BI60" s="294" t="s">
        <v>469</v>
      </c>
      <c r="BK60" s="288" t="s">
        <v>469</v>
      </c>
      <c r="BL60" s="292" t="s">
        <v>469</v>
      </c>
      <c r="BM60" s="293" t="s">
        <v>469</v>
      </c>
      <c r="BN60" s="293" t="s">
        <v>469</v>
      </c>
      <c r="BO60" s="293" t="s">
        <v>469</v>
      </c>
      <c r="BP60" s="293" t="s">
        <v>469</v>
      </c>
      <c r="BQ60" s="294" t="s">
        <v>469</v>
      </c>
      <c r="BS60" s="288" t="s">
        <v>469</v>
      </c>
      <c r="BT60" s="292" t="s">
        <v>469</v>
      </c>
      <c r="BU60" s="293" t="s">
        <v>469</v>
      </c>
      <c r="BV60" s="293" t="s">
        <v>469</v>
      </c>
      <c r="BW60" s="293" t="s">
        <v>469</v>
      </c>
      <c r="BX60" s="293" t="s">
        <v>469</v>
      </c>
      <c r="BY60" s="294" t="s">
        <v>469</v>
      </c>
      <c r="CA60" s="288" t="s">
        <v>469</v>
      </c>
      <c r="CB60" s="292" t="s">
        <v>469</v>
      </c>
      <c r="CC60" s="293" t="s">
        <v>469</v>
      </c>
      <c r="CD60" s="293" t="s">
        <v>469</v>
      </c>
      <c r="CE60" s="293" t="s">
        <v>469</v>
      </c>
      <c r="CF60" s="293" t="s">
        <v>469</v>
      </c>
      <c r="CG60" s="294" t="s">
        <v>469</v>
      </c>
      <c r="CI60" s="288" t="s">
        <v>469</v>
      </c>
      <c r="CJ60" s="292" t="s">
        <v>469</v>
      </c>
      <c r="CK60" s="293" t="s">
        <v>469</v>
      </c>
      <c r="CL60" s="293" t="s">
        <v>469</v>
      </c>
      <c r="CM60" s="293" t="s">
        <v>469</v>
      </c>
      <c r="CN60" s="293" t="s">
        <v>469</v>
      </c>
      <c r="CO60" s="294" t="s">
        <v>469</v>
      </c>
      <c r="CQ60" s="277"/>
      <c r="CR60" s="209" t="s">
        <v>469</v>
      </c>
      <c r="CS60" s="207"/>
      <c r="CT60" s="207" t="s">
        <v>468</v>
      </c>
      <c r="CU60" s="278">
        <v>257115100</v>
      </c>
      <c r="CV60" s="353"/>
    </row>
    <row r="61" spans="2:100" s="325" customFormat="1" ht="15.75" customHeight="1">
      <c r="B61" s="431"/>
      <c r="C61" s="403" t="s">
        <v>257</v>
      </c>
      <c r="D61" s="431"/>
      <c r="E61" s="432"/>
      <c r="F61" s="433"/>
      <c r="G61" s="434"/>
      <c r="H61" s="348">
        <v>442389300</v>
      </c>
      <c r="I61" s="348">
        <v>0</v>
      </c>
      <c r="J61" s="353"/>
      <c r="K61" s="353"/>
      <c r="L61" s="207"/>
      <c r="M61" s="209" t="e">
        <v>#REF!</v>
      </c>
      <c r="N61" s="207"/>
      <c r="O61" s="264">
        <v>6000</v>
      </c>
      <c r="P61" s="342" t="s">
        <v>381</v>
      </c>
      <c r="Q61" s="244"/>
      <c r="R61" s="245"/>
      <c r="S61" s="285">
        <v>98968000</v>
      </c>
      <c r="T61" s="286">
        <v>2.891574648940916</v>
      </c>
      <c r="U61" s="287">
        <v>286173359.8563846</v>
      </c>
      <c r="V61" s="208" t="s">
        <v>285</v>
      </c>
      <c r="W61" s="248" t="s">
        <v>279</v>
      </c>
      <c r="X61" s="271" t="e">
        <v>#REF!</v>
      </c>
      <c r="Y61" s="271" t="s">
        <v>469</v>
      </c>
      <c r="Z61" s="271" t="s">
        <v>469</v>
      </c>
      <c r="AA61" s="271" t="s">
        <v>469</v>
      </c>
      <c r="AB61" s="271" t="s">
        <v>469</v>
      </c>
      <c r="AC61" s="272" t="s">
        <v>469</v>
      </c>
      <c r="AE61" s="288" t="s">
        <v>469</v>
      </c>
      <c r="AF61" s="292" t="s">
        <v>469</v>
      </c>
      <c r="AG61" s="293" t="s">
        <v>469</v>
      </c>
      <c r="AH61" s="293" t="s">
        <v>469</v>
      </c>
      <c r="AI61" s="293" t="s">
        <v>469</v>
      </c>
      <c r="AJ61" s="293" t="s">
        <v>469</v>
      </c>
      <c r="AK61" s="294" t="s">
        <v>469</v>
      </c>
      <c r="AM61" s="288">
        <v>286173359.8563846</v>
      </c>
      <c r="AN61" s="292" t="e">
        <v>#REF!</v>
      </c>
      <c r="AO61" s="293" t="s">
        <v>469</v>
      </c>
      <c r="AP61" s="293" t="s">
        <v>469</v>
      </c>
      <c r="AQ61" s="293" t="s">
        <v>469</v>
      </c>
      <c r="AR61" s="293" t="s">
        <v>469</v>
      </c>
      <c r="AS61" s="294" t="s">
        <v>469</v>
      </c>
      <c r="AU61" s="288" t="s">
        <v>469</v>
      </c>
      <c r="AV61" s="292" t="s">
        <v>469</v>
      </c>
      <c r="AW61" s="293" t="s">
        <v>469</v>
      </c>
      <c r="AX61" s="293" t="s">
        <v>469</v>
      </c>
      <c r="AY61" s="293" t="s">
        <v>469</v>
      </c>
      <c r="AZ61" s="293" t="s">
        <v>469</v>
      </c>
      <c r="BA61" s="294" t="s">
        <v>469</v>
      </c>
      <c r="BC61" s="288" t="s">
        <v>469</v>
      </c>
      <c r="BD61" s="292" t="s">
        <v>469</v>
      </c>
      <c r="BE61" s="293" t="s">
        <v>469</v>
      </c>
      <c r="BF61" s="293" t="s">
        <v>469</v>
      </c>
      <c r="BG61" s="293" t="s">
        <v>469</v>
      </c>
      <c r="BH61" s="293" t="s">
        <v>469</v>
      </c>
      <c r="BI61" s="294" t="s">
        <v>469</v>
      </c>
      <c r="BK61" s="288" t="s">
        <v>469</v>
      </c>
      <c r="BL61" s="292" t="s">
        <v>469</v>
      </c>
      <c r="BM61" s="293" t="s">
        <v>469</v>
      </c>
      <c r="BN61" s="293" t="s">
        <v>469</v>
      </c>
      <c r="BO61" s="293" t="s">
        <v>469</v>
      </c>
      <c r="BP61" s="293" t="s">
        <v>469</v>
      </c>
      <c r="BQ61" s="294" t="s">
        <v>469</v>
      </c>
      <c r="BS61" s="288" t="s">
        <v>469</v>
      </c>
      <c r="BT61" s="292" t="s">
        <v>469</v>
      </c>
      <c r="BU61" s="293" t="s">
        <v>469</v>
      </c>
      <c r="BV61" s="293" t="s">
        <v>469</v>
      </c>
      <c r="BW61" s="293" t="s">
        <v>469</v>
      </c>
      <c r="BX61" s="293" t="s">
        <v>469</v>
      </c>
      <c r="BY61" s="294" t="s">
        <v>469</v>
      </c>
      <c r="CA61" s="288" t="s">
        <v>469</v>
      </c>
      <c r="CB61" s="292" t="s">
        <v>469</v>
      </c>
      <c r="CC61" s="293" t="s">
        <v>469</v>
      </c>
      <c r="CD61" s="293" t="s">
        <v>469</v>
      </c>
      <c r="CE61" s="293" t="s">
        <v>469</v>
      </c>
      <c r="CF61" s="293" t="s">
        <v>469</v>
      </c>
      <c r="CG61" s="294" t="s">
        <v>469</v>
      </c>
      <c r="CI61" s="288" t="s">
        <v>469</v>
      </c>
      <c r="CJ61" s="292" t="s">
        <v>469</v>
      </c>
      <c r="CK61" s="293" t="s">
        <v>469</v>
      </c>
      <c r="CL61" s="293" t="s">
        <v>469</v>
      </c>
      <c r="CM61" s="293" t="s">
        <v>469</v>
      </c>
      <c r="CN61" s="293" t="s">
        <v>469</v>
      </c>
      <c r="CO61" s="294" t="s">
        <v>469</v>
      </c>
      <c r="CQ61" s="295" t="e">
        <v>#REF!</v>
      </c>
      <c r="CR61" s="209" t="e">
        <v>#REF!</v>
      </c>
      <c r="CS61" s="207"/>
      <c r="CT61" s="207"/>
      <c r="CU61" s="207"/>
      <c r="CV61" s="353"/>
    </row>
    <row r="62" spans="2:100" s="325" customFormat="1" ht="15.75" customHeight="1">
      <c r="B62" s="431"/>
      <c r="C62" s="403" t="s">
        <v>382</v>
      </c>
      <c r="D62" s="435">
        <v>0</v>
      </c>
      <c r="E62" s="435"/>
      <c r="F62" s="433"/>
      <c r="G62" s="434"/>
      <c r="H62" s="435">
        <v>1</v>
      </c>
      <c r="I62" s="357">
        <v>0</v>
      </c>
      <c r="J62" s="353"/>
      <c r="K62" s="353"/>
      <c r="L62" s="207"/>
      <c r="M62" s="209" t="e">
        <v>#REF!</v>
      </c>
      <c r="N62" s="207"/>
      <c r="O62" s="264">
        <v>6010</v>
      </c>
      <c r="P62" s="342" t="s">
        <v>383</v>
      </c>
      <c r="Q62" s="244"/>
      <c r="R62" s="245"/>
      <c r="S62" s="285">
        <v>0</v>
      </c>
      <c r="T62" s="286">
        <v>2.891574648940916</v>
      </c>
      <c r="U62" s="287">
        <v>0</v>
      </c>
      <c r="V62" s="208" t="s">
        <v>285</v>
      </c>
      <c r="W62" s="248"/>
      <c r="X62" s="271" t="s">
        <v>469</v>
      </c>
      <c r="Y62" s="271" t="s">
        <v>469</v>
      </c>
      <c r="Z62" s="271" t="s">
        <v>469</v>
      </c>
      <c r="AA62" s="271" t="s">
        <v>469</v>
      </c>
      <c r="AB62" s="271" t="s">
        <v>469</v>
      </c>
      <c r="AC62" s="272" t="s">
        <v>469</v>
      </c>
      <c r="AE62" s="288" t="s">
        <v>469</v>
      </c>
      <c r="AF62" s="292" t="s">
        <v>469</v>
      </c>
      <c r="AG62" s="293" t="s">
        <v>469</v>
      </c>
      <c r="AH62" s="293" t="s">
        <v>469</v>
      </c>
      <c r="AI62" s="293" t="s">
        <v>469</v>
      </c>
      <c r="AJ62" s="293" t="s">
        <v>469</v>
      </c>
      <c r="AK62" s="294" t="s">
        <v>469</v>
      </c>
      <c r="AM62" s="288">
        <v>0</v>
      </c>
      <c r="AN62" s="292" t="s">
        <v>469</v>
      </c>
      <c r="AO62" s="293" t="s">
        <v>469</v>
      </c>
      <c r="AP62" s="293" t="s">
        <v>469</v>
      </c>
      <c r="AQ62" s="293" t="s">
        <v>469</v>
      </c>
      <c r="AR62" s="293" t="s">
        <v>469</v>
      </c>
      <c r="AS62" s="294" t="s">
        <v>469</v>
      </c>
      <c r="AU62" s="288" t="s">
        <v>469</v>
      </c>
      <c r="AV62" s="292" t="s">
        <v>469</v>
      </c>
      <c r="AW62" s="293" t="s">
        <v>469</v>
      </c>
      <c r="AX62" s="293" t="s">
        <v>469</v>
      </c>
      <c r="AY62" s="293" t="s">
        <v>469</v>
      </c>
      <c r="AZ62" s="293" t="s">
        <v>469</v>
      </c>
      <c r="BA62" s="294" t="s">
        <v>469</v>
      </c>
      <c r="BC62" s="288" t="s">
        <v>469</v>
      </c>
      <c r="BD62" s="292" t="s">
        <v>469</v>
      </c>
      <c r="BE62" s="293" t="s">
        <v>469</v>
      </c>
      <c r="BF62" s="293" t="s">
        <v>469</v>
      </c>
      <c r="BG62" s="293" t="s">
        <v>469</v>
      </c>
      <c r="BH62" s="293" t="s">
        <v>469</v>
      </c>
      <c r="BI62" s="294" t="s">
        <v>469</v>
      </c>
      <c r="BK62" s="288" t="s">
        <v>469</v>
      </c>
      <c r="BL62" s="292" t="s">
        <v>469</v>
      </c>
      <c r="BM62" s="293" t="s">
        <v>469</v>
      </c>
      <c r="BN62" s="293" t="s">
        <v>469</v>
      </c>
      <c r="BO62" s="293" t="s">
        <v>469</v>
      </c>
      <c r="BP62" s="293" t="s">
        <v>469</v>
      </c>
      <c r="BQ62" s="294" t="s">
        <v>469</v>
      </c>
      <c r="BS62" s="288" t="s">
        <v>469</v>
      </c>
      <c r="BT62" s="292" t="s">
        <v>469</v>
      </c>
      <c r="BU62" s="293" t="s">
        <v>469</v>
      </c>
      <c r="BV62" s="293" t="s">
        <v>469</v>
      </c>
      <c r="BW62" s="293" t="s">
        <v>469</v>
      </c>
      <c r="BX62" s="293" t="s">
        <v>469</v>
      </c>
      <c r="BY62" s="294" t="s">
        <v>469</v>
      </c>
      <c r="CA62" s="288" t="s">
        <v>469</v>
      </c>
      <c r="CB62" s="292" t="s">
        <v>469</v>
      </c>
      <c r="CC62" s="293" t="s">
        <v>469</v>
      </c>
      <c r="CD62" s="293" t="s">
        <v>469</v>
      </c>
      <c r="CE62" s="293" t="s">
        <v>469</v>
      </c>
      <c r="CF62" s="293" t="s">
        <v>469</v>
      </c>
      <c r="CG62" s="294" t="s">
        <v>469</v>
      </c>
      <c r="CI62" s="288" t="s">
        <v>469</v>
      </c>
      <c r="CJ62" s="292" t="s">
        <v>469</v>
      </c>
      <c r="CK62" s="293" t="s">
        <v>469</v>
      </c>
      <c r="CL62" s="293" t="s">
        <v>469</v>
      </c>
      <c r="CM62" s="293" t="s">
        <v>469</v>
      </c>
      <c r="CN62" s="293" t="s">
        <v>469</v>
      </c>
      <c r="CO62" s="294" t="s">
        <v>469</v>
      </c>
      <c r="CQ62" s="295" t="e">
        <v>#REF!</v>
      </c>
      <c r="CR62" s="209" t="e">
        <v>#REF!</v>
      </c>
      <c r="CS62" s="207"/>
      <c r="CT62" s="207"/>
      <c r="CU62" s="207"/>
      <c r="CV62" s="353"/>
    </row>
    <row r="63" spans="2:96" ht="11.25">
      <c r="B63" s="431"/>
      <c r="C63" s="403"/>
      <c r="D63" s="431"/>
      <c r="E63" s="432"/>
      <c r="F63" s="433"/>
      <c r="G63" s="434"/>
      <c r="H63" s="397"/>
      <c r="J63" s="353"/>
      <c r="M63" s="209" t="e">
        <v>#REF!</v>
      </c>
      <c r="O63" s="264">
        <v>6100</v>
      </c>
      <c r="P63" s="342" t="s">
        <v>384</v>
      </c>
      <c r="Q63" s="244"/>
      <c r="R63" s="245"/>
      <c r="S63" s="285">
        <v>0</v>
      </c>
      <c r="T63" s="286">
        <v>2.891574648940916</v>
      </c>
      <c r="U63" s="287">
        <v>0</v>
      </c>
      <c r="V63" s="208" t="s">
        <v>285</v>
      </c>
      <c r="W63" s="248" t="s">
        <v>283</v>
      </c>
      <c r="X63" s="271" t="s">
        <v>469</v>
      </c>
      <c r="Y63" s="271" t="s">
        <v>469</v>
      </c>
      <c r="Z63" s="271" t="s">
        <v>469</v>
      </c>
      <c r="AA63" s="271" t="s">
        <v>469</v>
      </c>
      <c r="AB63" s="271" t="s">
        <v>469</v>
      </c>
      <c r="AC63" s="272" t="e">
        <v>#REF!</v>
      </c>
      <c r="AE63" s="288" t="s">
        <v>469</v>
      </c>
      <c r="AF63" s="292" t="s">
        <v>469</v>
      </c>
      <c r="AG63" s="293" t="s">
        <v>469</v>
      </c>
      <c r="AH63" s="293" t="s">
        <v>469</v>
      </c>
      <c r="AI63" s="293" t="s">
        <v>469</v>
      </c>
      <c r="AJ63" s="293" t="s">
        <v>469</v>
      </c>
      <c r="AK63" s="294" t="s">
        <v>469</v>
      </c>
      <c r="AM63" s="288">
        <v>0</v>
      </c>
      <c r="AN63" s="292" t="s">
        <v>469</v>
      </c>
      <c r="AO63" s="293" t="s">
        <v>469</v>
      </c>
      <c r="AP63" s="293" t="s">
        <v>469</v>
      </c>
      <c r="AQ63" s="293" t="s">
        <v>469</v>
      </c>
      <c r="AR63" s="293" t="s">
        <v>469</v>
      </c>
      <c r="AS63" s="294" t="e">
        <v>#REF!</v>
      </c>
      <c r="AU63" s="288" t="s">
        <v>469</v>
      </c>
      <c r="AV63" s="292" t="s">
        <v>469</v>
      </c>
      <c r="AW63" s="293" t="s">
        <v>469</v>
      </c>
      <c r="AX63" s="293" t="s">
        <v>469</v>
      </c>
      <c r="AY63" s="293" t="s">
        <v>469</v>
      </c>
      <c r="AZ63" s="293" t="s">
        <v>469</v>
      </c>
      <c r="BA63" s="294" t="s">
        <v>469</v>
      </c>
      <c r="BC63" s="288" t="s">
        <v>469</v>
      </c>
      <c r="BD63" s="292" t="s">
        <v>469</v>
      </c>
      <c r="BE63" s="293" t="s">
        <v>469</v>
      </c>
      <c r="BF63" s="293" t="s">
        <v>469</v>
      </c>
      <c r="BG63" s="293" t="s">
        <v>469</v>
      </c>
      <c r="BH63" s="293" t="s">
        <v>469</v>
      </c>
      <c r="BI63" s="294" t="s">
        <v>469</v>
      </c>
      <c r="BK63" s="288" t="s">
        <v>469</v>
      </c>
      <c r="BL63" s="292" t="s">
        <v>469</v>
      </c>
      <c r="BM63" s="293" t="s">
        <v>469</v>
      </c>
      <c r="BN63" s="293" t="s">
        <v>469</v>
      </c>
      <c r="BO63" s="293" t="s">
        <v>469</v>
      </c>
      <c r="BP63" s="293" t="s">
        <v>469</v>
      </c>
      <c r="BQ63" s="294" t="s">
        <v>469</v>
      </c>
      <c r="BS63" s="288" t="s">
        <v>469</v>
      </c>
      <c r="BT63" s="292" t="s">
        <v>469</v>
      </c>
      <c r="BU63" s="293" t="s">
        <v>469</v>
      </c>
      <c r="BV63" s="293" t="s">
        <v>469</v>
      </c>
      <c r="BW63" s="293" t="s">
        <v>469</v>
      </c>
      <c r="BX63" s="293" t="s">
        <v>469</v>
      </c>
      <c r="BY63" s="294" t="s">
        <v>469</v>
      </c>
      <c r="CA63" s="288" t="s">
        <v>469</v>
      </c>
      <c r="CB63" s="292" t="s">
        <v>469</v>
      </c>
      <c r="CC63" s="293" t="s">
        <v>469</v>
      </c>
      <c r="CD63" s="293" t="s">
        <v>469</v>
      </c>
      <c r="CE63" s="293" t="s">
        <v>469</v>
      </c>
      <c r="CF63" s="293" t="s">
        <v>469</v>
      </c>
      <c r="CG63" s="294" t="s">
        <v>469</v>
      </c>
      <c r="CI63" s="288" t="s">
        <v>469</v>
      </c>
      <c r="CJ63" s="292" t="s">
        <v>469</v>
      </c>
      <c r="CK63" s="293" t="s">
        <v>469</v>
      </c>
      <c r="CL63" s="293" t="s">
        <v>469</v>
      </c>
      <c r="CM63" s="293" t="s">
        <v>469</v>
      </c>
      <c r="CN63" s="293" t="s">
        <v>469</v>
      </c>
      <c r="CO63" s="294" t="s">
        <v>469</v>
      </c>
      <c r="CQ63" s="295" t="e">
        <v>#REF!</v>
      </c>
      <c r="CR63" s="209" t="e">
        <v>#REF!</v>
      </c>
    </row>
    <row r="64" spans="2:96" ht="15.75" customHeight="1">
      <c r="B64" s="437"/>
      <c r="C64" s="403" t="s">
        <v>385</v>
      </c>
      <c r="D64" s="403"/>
      <c r="E64" s="397"/>
      <c r="F64" s="415"/>
      <c r="G64" s="401"/>
      <c r="H64" s="358">
        <v>442389300</v>
      </c>
      <c r="I64" s="359"/>
      <c r="J64" s="210"/>
      <c r="M64" s="209" t="e">
        <v>#REF!</v>
      </c>
      <c r="O64" s="264">
        <v>6200</v>
      </c>
      <c r="P64" s="342" t="s">
        <v>386</v>
      </c>
      <c r="Q64" s="244"/>
      <c r="R64" s="245"/>
      <c r="S64" s="285">
        <v>161000</v>
      </c>
      <c r="T64" s="286">
        <v>2.891574648940916</v>
      </c>
      <c r="U64" s="287">
        <v>465543.51847948745</v>
      </c>
      <c r="V64" s="208" t="s">
        <v>285</v>
      </c>
      <c r="W64" s="248" t="s">
        <v>283</v>
      </c>
      <c r="X64" s="271" t="s">
        <v>469</v>
      </c>
      <c r="Y64" s="271" t="s">
        <v>469</v>
      </c>
      <c r="Z64" s="271" t="s">
        <v>469</v>
      </c>
      <c r="AA64" s="271" t="s">
        <v>469</v>
      </c>
      <c r="AB64" s="271" t="s">
        <v>469</v>
      </c>
      <c r="AC64" s="272" t="e">
        <v>#REF!</v>
      </c>
      <c r="AE64" s="288" t="s">
        <v>469</v>
      </c>
      <c r="AF64" s="292" t="s">
        <v>469</v>
      </c>
      <c r="AG64" s="293" t="s">
        <v>469</v>
      </c>
      <c r="AH64" s="293" t="s">
        <v>469</v>
      </c>
      <c r="AI64" s="293" t="s">
        <v>469</v>
      </c>
      <c r="AJ64" s="293" t="s">
        <v>469</v>
      </c>
      <c r="AK64" s="294" t="s">
        <v>469</v>
      </c>
      <c r="AM64" s="288">
        <v>465543.51847948745</v>
      </c>
      <c r="AN64" s="292" t="s">
        <v>469</v>
      </c>
      <c r="AO64" s="293" t="s">
        <v>469</v>
      </c>
      <c r="AP64" s="293" t="s">
        <v>469</v>
      </c>
      <c r="AQ64" s="293" t="s">
        <v>469</v>
      </c>
      <c r="AR64" s="293" t="s">
        <v>469</v>
      </c>
      <c r="AS64" s="294" t="e">
        <v>#REF!</v>
      </c>
      <c r="AU64" s="288" t="s">
        <v>469</v>
      </c>
      <c r="AV64" s="292" t="s">
        <v>469</v>
      </c>
      <c r="AW64" s="293" t="s">
        <v>469</v>
      </c>
      <c r="AX64" s="293" t="s">
        <v>469</v>
      </c>
      <c r="AY64" s="293" t="s">
        <v>469</v>
      </c>
      <c r="AZ64" s="293" t="s">
        <v>469</v>
      </c>
      <c r="BA64" s="294" t="s">
        <v>469</v>
      </c>
      <c r="BC64" s="288" t="s">
        <v>469</v>
      </c>
      <c r="BD64" s="292" t="s">
        <v>469</v>
      </c>
      <c r="BE64" s="293" t="s">
        <v>469</v>
      </c>
      <c r="BF64" s="293" t="s">
        <v>469</v>
      </c>
      <c r="BG64" s="293" t="s">
        <v>469</v>
      </c>
      <c r="BH64" s="293" t="s">
        <v>469</v>
      </c>
      <c r="BI64" s="294" t="s">
        <v>469</v>
      </c>
      <c r="BK64" s="288" t="s">
        <v>469</v>
      </c>
      <c r="BL64" s="292" t="s">
        <v>469</v>
      </c>
      <c r="BM64" s="293" t="s">
        <v>469</v>
      </c>
      <c r="BN64" s="293" t="s">
        <v>469</v>
      </c>
      <c r="BO64" s="293" t="s">
        <v>469</v>
      </c>
      <c r="BP64" s="293" t="s">
        <v>469</v>
      </c>
      <c r="BQ64" s="294" t="s">
        <v>469</v>
      </c>
      <c r="BS64" s="288" t="s">
        <v>469</v>
      </c>
      <c r="BT64" s="292" t="s">
        <v>469</v>
      </c>
      <c r="BU64" s="293" t="s">
        <v>469</v>
      </c>
      <c r="BV64" s="293" t="s">
        <v>469</v>
      </c>
      <c r="BW64" s="293" t="s">
        <v>469</v>
      </c>
      <c r="BX64" s="293" t="s">
        <v>469</v>
      </c>
      <c r="BY64" s="294" t="s">
        <v>469</v>
      </c>
      <c r="CA64" s="288" t="s">
        <v>469</v>
      </c>
      <c r="CB64" s="292" t="s">
        <v>469</v>
      </c>
      <c r="CC64" s="293" t="s">
        <v>469</v>
      </c>
      <c r="CD64" s="293" t="s">
        <v>469</v>
      </c>
      <c r="CE64" s="293" t="s">
        <v>469</v>
      </c>
      <c r="CF64" s="293" t="s">
        <v>469</v>
      </c>
      <c r="CG64" s="294" t="s">
        <v>469</v>
      </c>
      <c r="CI64" s="288" t="s">
        <v>469</v>
      </c>
      <c r="CJ64" s="292" t="s">
        <v>469</v>
      </c>
      <c r="CK64" s="293" t="s">
        <v>469</v>
      </c>
      <c r="CL64" s="293" t="s">
        <v>469</v>
      </c>
      <c r="CM64" s="293" t="s">
        <v>469</v>
      </c>
      <c r="CN64" s="293" t="s">
        <v>469</v>
      </c>
      <c r="CO64" s="294" t="s">
        <v>469</v>
      </c>
      <c r="CQ64" s="295" t="e">
        <v>#REF!</v>
      </c>
      <c r="CR64" s="209" t="e">
        <v>#REF!</v>
      </c>
    </row>
    <row r="65" spans="2:96" ht="11.25">
      <c r="B65" s="437"/>
      <c r="C65" s="403"/>
      <c r="D65" s="403"/>
      <c r="E65" s="397" t="s">
        <v>387</v>
      </c>
      <c r="F65" s="415"/>
      <c r="G65" s="401"/>
      <c r="H65" s="438">
        <v>7.769394099051634</v>
      </c>
      <c r="I65" s="361"/>
      <c r="J65" s="360">
        <v>0</v>
      </c>
      <c r="M65" s="209"/>
      <c r="O65" s="264"/>
      <c r="P65" s="342"/>
      <c r="Q65" s="244"/>
      <c r="R65" s="245"/>
      <c r="S65" s="285"/>
      <c r="T65" s="362"/>
      <c r="U65" s="287"/>
      <c r="W65" s="248"/>
      <c r="X65" s="271" t="s">
        <v>469</v>
      </c>
      <c r="Y65" s="271" t="s">
        <v>469</v>
      </c>
      <c r="Z65" s="271" t="s">
        <v>469</v>
      </c>
      <c r="AA65" s="271" t="s">
        <v>469</v>
      </c>
      <c r="AB65" s="271" t="s">
        <v>469</v>
      </c>
      <c r="AC65" s="272" t="s">
        <v>469</v>
      </c>
      <c r="AE65" s="288" t="s">
        <v>469</v>
      </c>
      <c r="AF65" s="292" t="s">
        <v>469</v>
      </c>
      <c r="AG65" s="293" t="s">
        <v>469</v>
      </c>
      <c r="AH65" s="293" t="s">
        <v>469</v>
      </c>
      <c r="AI65" s="293" t="s">
        <v>469</v>
      </c>
      <c r="AJ65" s="293" t="s">
        <v>469</v>
      </c>
      <c r="AK65" s="294" t="s">
        <v>469</v>
      </c>
      <c r="AM65" s="288" t="s">
        <v>469</v>
      </c>
      <c r="AN65" s="292" t="s">
        <v>469</v>
      </c>
      <c r="AO65" s="293" t="s">
        <v>469</v>
      </c>
      <c r="AP65" s="293" t="s">
        <v>469</v>
      </c>
      <c r="AQ65" s="293" t="s">
        <v>469</v>
      </c>
      <c r="AR65" s="293" t="s">
        <v>469</v>
      </c>
      <c r="AS65" s="294" t="s">
        <v>469</v>
      </c>
      <c r="AU65" s="288" t="s">
        <v>469</v>
      </c>
      <c r="AV65" s="292" t="s">
        <v>469</v>
      </c>
      <c r="AW65" s="293" t="s">
        <v>469</v>
      </c>
      <c r="AX65" s="293" t="s">
        <v>469</v>
      </c>
      <c r="AY65" s="293" t="s">
        <v>469</v>
      </c>
      <c r="AZ65" s="293" t="s">
        <v>469</v>
      </c>
      <c r="BA65" s="294" t="s">
        <v>469</v>
      </c>
      <c r="BC65" s="288" t="s">
        <v>469</v>
      </c>
      <c r="BD65" s="292" t="s">
        <v>469</v>
      </c>
      <c r="BE65" s="293" t="s">
        <v>469</v>
      </c>
      <c r="BF65" s="293" t="s">
        <v>469</v>
      </c>
      <c r="BG65" s="293" t="s">
        <v>469</v>
      </c>
      <c r="BH65" s="293" t="s">
        <v>469</v>
      </c>
      <c r="BI65" s="294" t="s">
        <v>469</v>
      </c>
      <c r="BK65" s="288" t="s">
        <v>469</v>
      </c>
      <c r="BL65" s="292" t="s">
        <v>469</v>
      </c>
      <c r="BM65" s="293" t="s">
        <v>469</v>
      </c>
      <c r="BN65" s="293" t="s">
        <v>469</v>
      </c>
      <c r="BO65" s="293" t="s">
        <v>469</v>
      </c>
      <c r="BP65" s="293" t="s">
        <v>469</v>
      </c>
      <c r="BQ65" s="294" t="s">
        <v>469</v>
      </c>
      <c r="BS65" s="288" t="s">
        <v>469</v>
      </c>
      <c r="BT65" s="292" t="s">
        <v>469</v>
      </c>
      <c r="BU65" s="293" t="s">
        <v>469</v>
      </c>
      <c r="BV65" s="293" t="s">
        <v>469</v>
      </c>
      <c r="BW65" s="293" t="s">
        <v>469</v>
      </c>
      <c r="BX65" s="293" t="s">
        <v>469</v>
      </c>
      <c r="BY65" s="294" t="s">
        <v>469</v>
      </c>
      <c r="CA65" s="288" t="s">
        <v>469</v>
      </c>
      <c r="CB65" s="292" t="s">
        <v>469</v>
      </c>
      <c r="CC65" s="293" t="s">
        <v>469</v>
      </c>
      <c r="CD65" s="293" t="s">
        <v>469</v>
      </c>
      <c r="CE65" s="293" t="s">
        <v>469</v>
      </c>
      <c r="CF65" s="293" t="s">
        <v>469</v>
      </c>
      <c r="CG65" s="294" t="s">
        <v>469</v>
      </c>
      <c r="CI65" s="288" t="s">
        <v>469</v>
      </c>
      <c r="CJ65" s="292" t="s">
        <v>469</v>
      </c>
      <c r="CK65" s="293" t="s">
        <v>469</v>
      </c>
      <c r="CL65" s="293" t="s">
        <v>469</v>
      </c>
      <c r="CM65" s="293" t="s">
        <v>469</v>
      </c>
      <c r="CN65" s="293" t="s">
        <v>469</v>
      </c>
      <c r="CO65" s="294" t="s">
        <v>469</v>
      </c>
      <c r="CQ65" s="295"/>
      <c r="CR65" s="209" t="s">
        <v>469</v>
      </c>
    </row>
    <row r="66" spans="2:99" ht="15.75" customHeight="1">
      <c r="B66" s="437"/>
      <c r="C66" s="403" t="s">
        <v>388</v>
      </c>
      <c r="D66" s="403"/>
      <c r="E66" s="397"/>
      <c r="F66" s="415"/>
      <c r="G66" s="401"/>
      <c r="H66" s="363">
        <v>7020000</v>
      </c>
      <c r="I66" s="359"/>
      <c r="L66" s="315"/>
      <c r="M66" s="263" t="e">
        <v>#REF!</v>
      </c>
      <c r="N66" s="207" t="s">
        <v>470</v>
      </c>
      <c r="O66" s="264">
        <v>8000</v>
      </c>
      <c r="P66" s="302" t="s">
        <v>389</v>
      </c>
      <c r="Q66" s="244"/>
      <c r="R66" s="267"/>
      <c r="S66" s="268">
        <v>9055000</v>
      </c>
      <c r="T66" s="268"/>
      <c r="U66" s="269">
        <v>10094760.312151616</v>
      </c>
      <c r="W66" s="248"/>
      <c r="X66" s="271" t="s">
        <v>469</v>
      </c>
      <c r="Y66" s="271" t="s">
        <v>469</v>
      </c>
      <c r="Z66" s="271" t="s">
        <v>469</v>
      </c>
      <c r="AA66" s="271" t="s">
        <v>469</v>
      </c>
      <c r="AB66" s="271" t="s">
        <v>469</v>
      </c>
      <c r="AC66" s="272" t="s">
        <v>469</v>
      </c>
      <c r="AE66" s="288" t="s">
        <v>469</v>
      </c>
      <c r="AF66" s="292" t="s">
        <v>469</v>
      </c>
      <c r="AG66" s="293" t="s">
        <v>469</v>
      </c>
      <c r="AH66" s="293" t="s">
        <v>469</v>
      </c>
      <c r="AI66" s="293" t="s">
        <v>469</v>
      </c>
      <c r="AJ66" s="293" t="s">
        <v>469</v>
      </c>
      <c r="AK66" s="294" t="s">
        <v>469</v>
      </c>
      <c r="AM66" s="288" t="s">
        <v>469</v>
      </c>
      <c r="AN66" s="292" t="s">
        <v>469</v>
      </c>
      <c r="AO66" s="293" t="s">
        <v>469</v>
      </c>
      <c r="AP66" s="293" t="s">
        <v>469</v>
      </c>
      <c r="AQ66" s="293" t="s">
        <v>469</v>
      </c>
      <c r="AR66" s="293" t="s">
        <v>469</v>
      </c>
      <c r="AS66" s="294" t="s">
        <v>469</v>
      </c>
      <c r="AU66" s="288" t="s">
        <v>469</v>
      </c>
      <c r="AV66" s="292" t="s">
        <v>469</v>
      </c>
      <c r="AW66" s="293" t="s">
        <v>469</v>
      </c>
      <c r="AX66" s="293" t="s">
        <v>469</v>
      </c>
      <c r="AY66" s="293" t="s">
        <v>469</v>
      </c>
      <c r="AZ66" s="293" t="s">
        <v>469</v>
      </c>
      <c r="BA66" s="294" t="s">
        <v>469</v>
      </c>
      <c r="BC66" s="288" t="s">
        <v>469</v>
      </c>
      <c r="BD66" s="292" t="s">
        <v>469</v>
      </c>
      <c r="BE66" s="293" t="s">
        <v>469</v>
      </c>
      <c r="BF66" s="293" t="s">
        <v>469</v>
      </c>
      <c r="BG66" s="293" t="s">
        <v>469</v>
      </c>
      <c r="BH66" s="293" t="s">
        <v>469</v>
      </c>
      <c r="BI66" s="294" t="s">
        <v>469</v>
      </c>
      <c r="BK66" s="288" t="s">
        <v>469</v>
      </c>
      <c r="BL66" s="292" t="s">
        <v>469</v>
      </c>
      <c r="BM66" s="293" t="s">
        <v>469</v>
      </c>
      <c r="BN66" s="293" t="s">
        <v>469</v>
      </c>
      <c r="BO66" s="293" t="s">
        <v>469</v>
      </c>
      <c r="BP66" s="293" t="s">
        <v>469</v>
      </c>
      <c r="BQ66" s="294" t="s">
        <v>469</v>
      </c>
      <c r="BS66" s="288" t="s">
        <v>469</v>
      </c>
      <c r="BT66" s="292" t="s">
        <v>469</v>
      </c>
      <c r="BU66" s="293" t="s">
        <v>469</v>
      </c>
      <c r="BV66" s="293" t="s">
        <v>469</v>
      </c>
      <c r="BW66" s="293" t="s">
        <v>469</v>
      </c>
      <c r="BX66" s="293" t="s">
        <v>469</v>
      </c>
      <c r="BY66" s="294" t="s">
        <v>469</v>
      </c>
      <c r="CA66" s="288" t="s">
        <v>469</v>
      </c>
      <c r="CB66" s="292" t="s">
        <v>469</v>
      </c>
      <c r="CC66" s="293" t="s">
        <v>469</v>
      </c>
      <c r="CD66" s="293" t="s">
        <v>469</v>
      </c>
      <c r="CE66" s="293" t="s">
        <v>469</v>
      </c>
      <c r="CF66" s="293" t="s">
        <v>469</v>
      </c>
      <c r="CG66" s="294" t="s">
        <v>469</v>
      </c>
      <c r="CI66" s="288" t="s">
        <v>469</v>
      </c>
      <c r="CJ66" s="292" t="s">
        <v>469</v>
      </c>
      <c r="CK66" s="293" t="s">
        <v>469</v>
      </c>
      <c r="CL66" s="293" t="s">
        <v>469</v>
      </c>
      <c r="CM66" s="293" t="s">
        <v>469</v>
      </c>
      <c r="CN66" s="293" t="s">
        <v>469</v>
      </c>
      <c r="CO66" s="294" t="s">
        <v>469</v>
      </c>
      <c r="CQ66" s="277"/>
      <c r="CR66" s="209" t="s">
        <v>469</v>
      </c>
      <c r="CT66" s="207" t="s">
        <v>468</v>
      </c>
      <c r="CU66" s="278">
        <v>14749600</v>
      </c>
    </row>
    <row r="67" spans="2:96" ht="15.75" customHeight="1">
      <c r="B67" s="437"/>
      <c r="C67" s="415"/>
      <c r="D67" s="415"/>
      <c r="E67" s="397" t="s">
        <v>390</v>
      </c>
      <c r="F67" s="415"/>
      <c r="G67" s="401"/>
      <c r="H67" s="439">
        <v>0.029052683855481518</v>
      </c>
      <c r="I67" s="364"/>
      <c r="L67" s="315"/>
      <c r="M67" s="209" t="e">
        <v>#REF!</v>
      </c>
      <c r="O67" s="344">
        <v>8100</v>
      </c>
      <c r="P67" s="345" t="s">
        <v>391</v>
      </c>
      <c r="Q67" s="244"/>
      <c r="R67" s="245"/>
      <c r="S67" s="285">
        <v>0</v>
      </c>
      <c r="T67" s="286">
        <v>1.1148272017837235</v>
      </c>
      <c r="U67" s="287">
        <v>0</v>
      </c>
      <c r="V67" s="208" t="s">
        <v>285</v>
      </c>
      <c r="W67" s="248" t="s">
        <v>283</v>
      </c>
      <c r="X67" s="271" t="s">
        <v>469</v>
      </c>
      <c r="Y67" s="271" t="s">
        <v>469</v>
      </c>
      <c r="Z67" s="271" t="s">
        <v>469</v>
      </c>
      <c r="AA67" s="271" t="s">
        <v>469</v>
      </c>
      <c r="AB67" s="271" t="s">
        <v>469</v>
      </c>
      <c r="AC67" s="272" t="e">
        <v>#REF!</v>
      </c>
      <c r="AE67" s="288" t="s">
        <v>469</v>
      </c>
      <c r="AF67" s="292" t="s">
        <v>469</v>
      </c>
      <c r="AG67" s="293" t="s">
        <v>469</v>
      </c>
      <c r="AH67" s="293" t="s">
        <v>469</v>
      </c>
      <c r="AI67" s="293" t="s">
        <v>469</v>
      </c>
      <c r="AJ67" s="293" t="s">
        <v>469</v>
      </c>
      <c r="AK67" s="294" t="s">
        <v>469</v>
      </c>
      <c r="AM67" s="288">
        <v>0</v>
      </c>
      <c r="AN67" s="292" t="s">
        <v>469</v>
      </c>
      <c r="AO67" s="293" t="s">
        <v>469</v>
      </c>
      <c r="AP67" s="293" t="s">
        <v>469</v>
      </c>
      <c r="AQ67" s="293" t="s">
        <v>469</v>
      </c>
      <c r="AR67" s="293" t="s">
        <v>469</v>
      </c>
      <c r="AS67" s="294" t="e">
        <v>#REF!</v>
      </c>
      <c r="AU67" s="288" t="s">
        <v>469</v>
      </c>
      <c r="AV67" s="292" t="s">
        <v>469</v>
      </c>
      <c r="AW67" s="293" t="s">
        <v>469</v>
      </c>
      <c r="AX67" s="293" t="s">
        <v>469</v>
      </c>
      <c r="AY67" s="293" t="s">
        <v>469</v>
      </c>
      <c r="AZ67" s="293" t="s">
        <v>469</v>
      </c>
      <c r="BA67" s="294" t="s">
        <v>469</v>
      </c>
      <c r="BC67" s="288" t="s">
        <v>469</v>
      </c>
      <c r="BD67" s="292" t="s">
        <v>469</v>
      </c>
      <c r="BE67" s="293" t="s">
        <v>469</v>
      </c>
      <c r="BF67" s="293" t="s">
        <v>469</v>
      </c>
      <c r="BG67" s="293" t="s">
        <v>469</v>
      </c>
      <c r="BH67" s="293" t="s">
        <v>469</v>
      </c>
      <c r="BI67" s="294" t="s">
        <v>469</v>
      </c>
      <c r="BK67" s="288" t="s">
        <v>469</v>
      </c>
      <c r="BL67" s="292" t="s">
        <v>469</v>
      </c>
      <c r="BM67" s="293" t="s">
        <v>469</v>
      </c>
      <c r="BN67" s="293" t="s">
        <v>469</v>
      </c>
      <c r="BO67" s="293" t="s">
        <v>469</v>
      </c>
      <c r="BP67" s="293" t="s">
        <v>469</v>
      </c>
      <c r="BQ67" s="294" t="s">
        <v>469</v>
      </c>
      <c r="BS67" s="288" t="s">
        <v>469</v>
      </c>
      <c r="BT67" s="292" t="s">
        <v>469</v>
      </c>
      <c r="BU67" s="293" t="s">
        <v>469</v>
      </c>
      <c r="BV67" s="293" t="s">
        <v>469</v>
      </c>
      <c r="BW67" s="293" t="s">
        <v>469</v>
      </c>
      <c r="BX67" s="293" t="s">
        <v>469</v>
      </c>
      <c r="BY67" s="294" t="s">
        <v>469</v>
      </c>
      <c r="CA67" s="288" t="s">
        <v>469</v>
      </c>
      <c r="CB67" s="292" t="s">
        <v>469</v>
      </c>
      <c r="CC67" s="293" t="s">
        <v>469</v>
      </c>
      <c r="CD67" s="293" t="s">
        <v>469</v>
      </c>
      <c r="CE67" s="293" t="s">
        <v>469</v>
      </c>
      <c r="CF67" s="293" t="s">
        <v>469</v>
      </c>
      <c r="CG67" s="294" t="s">
        <v>469</v>
      </c>
      <c r="CI67" s="288" t="s">
        <v>469</v>
      </c>
      <c r="CJ67" s="292" t="s">
        <v>469</v>
      </c>
      <c r="CK67" s="293" t="s">
        <v>469</v>
      </c>
      <c r="CL67" s="293" t="s">
        <v>469</v>
      </c>
      <c r="CM67" s="293" t="s">
        <v>469</v>
      </c>
      <c r="CN67" s="293" t="s">
        <v>469</v>
      </c>
      <c r="CO67" s="294" t="s">
        <v>469</v>
      </c>
      <c r="CQ67" s="295" t="e">
        <v>#REF!</v>
      </c>
      <c r="CR67" s="209" t="e">
        <v>#REF!</v>
      </c>
    </row>
    <row r="68" spans="2:96" ht="15.75" customHeight="1">
      <c r="B68" s="365"/>
      <c r="C68" s="366"/>
      <c r="D68" s="366"/>
      <c r="E68" s="367"/>
      <c r="F68" s="366"/>
      <c r="G68" s="368"/>
      <c r="H68" s="369"/>
      <c r="I68" s="370"/>
      <c r="J68" s="367"/>
      <c r="L68" s="315"/>
      <c r="M68" s="209" t="e">
        <v>#REF!</v>
      </c>
      <c r="O68" s="344">
        <v>8200</v>
      </c>
      <c r="P68" s="345" t="s">
        <v>392</v>
      </c>
      <c r="Q68" s="244"/>
      <c r="R68" s="245"/>
      <c r="S68" s="285">
        <v>9025000</v>
      </c>
      <c r="T68" s="286">
        <v>1.1148272017837235</v>
      </c>
      <c r="U68" s="287">
        <v>10061315.496098105</v>
      </c>
      <c r="V68" s="208" t="s">
        <v>285</v>
      </c>
      <c r="W68" s="248" t="s">
        <v>283</v>
      </c>
      <c r="X68" s="271" t="s">
        <v>469</v>
      </c>
      <c r="Y68" s="271" t="s">
        <v>469</v>
      </c>
      <c r="Z68" s="271" t="s">
        <v>469</v>
      </c>
      <c r="AA68" s="271" t="s">
        <v>469</v>
      </c>
      <c r="AB68" s="271" t="s">
        <v>469</v>
      </c>
      <c r="AC68" s="272" t="e">
        <v>#REF!</v>
      </c>
      <c r="AE68" s="288" t="s">
        <v>469</v>
      </c>
      <c r="AF68" s="292" t="s">
        <v>469</v>
      </c>
      <c r="AG68" s="293" t="s">
        <v>469</v>
      </c>
      <c r="AH68" s="293" t="s">
        <v>469</v>
      </c>
      <c r="AI68" s="293" t="s">
        <v>469</v>
      </c>
      <c r="AJ68" s="293" t="s">
        <v>469</v>
      </c>
      <c r="AK68" s="294" t="s">
        <v>469</v>
      </c>
      <c r="AM68" s="288">
        <v>10061315.496098105</v>
      </c>
      <c r="AN68" s="292" t="s">
        <v>469</v>
      </c>
      <c r="AO68" s="293" t="s">
        <v>469</v>
      </c>
      <c r="AP68" s="293" t="s">
        <v>469</v>
      </c>
      <c r="AQ68" s="293" t="s">
        <v>469</v>
      </c>
      <c r="AR68" s="293" t="s">
        <v>469</v>
      </c>
      <c r="AS68" s="294" t="e">
        <v>#REF!</v>
      </c>
      <c r="AU68" s="288" t="s">
        <v>469</v>
      </c>
      <c r="AV68" s="292" t="s">
        <v>469</v>
      </c>
      <c r="AW68" s="293" t="s">
        <v>469</v>
      </c>
      <c r="AX68" s="293" t="s">
        <v>469</v>
      </c>
      <c r="AY68" s="293" t="s">
        <v>469</v>
      </c>
      <c r="AZ68" s="293" t="s">
        <v>469</v>
      </c>
      <c r="BA68" s="294" t="s">
        <v>469</v>
      </c>
      <c r="BC68" s="288" t="s">
        <v>469</v>
      </c>
      <c r="BD68" s="292" t="s">
        <v>469</v>
      </c>
      <c r="BE68" s="293" t="s">
        <v>469</v>
      </c>
      <c r="BF68" s="293" t="s">
        <v>469</v>
      </c>
      <c r="BG68" s="293" t="s">
        <v>469</v>
      </c>
      <c r="BH68" s="293" t="s">
        <v>469</v>
      </c>
      <c r="BI68" s="294" t="s">
        <v>469</v>
      </c>
      <c r="BK68" s="288" t="s">
        <v>469</v>
      </c>
      <c r="BL68" s="292" t="s">
        <v>469</v>
      </c>
      <c r="BM68" s="293" t="s">
        <v>469</v>
      </c>
      <c r="BN68" s="293" t="s">
        <v>469</v>
      </c>
      <c r="BO68" s="293" t="s">
        <v>469</v>
      </c>
      <c r="BP68" s="293" t="s">
        <v>469</v>
      </c>
      <c r="BQ68" s="294" t="s">
        <v>469</v>
      </c>
      <c r="BS68" s="288" t="s">
        <v>469</v>
      </c>
      <c r="BT68" s="292" t="s">
        <v>469</v>
      </c>
      <c r="BU68" s="293" t="s">
        <v>469</v>
      </c>
      <c r="BV68" s="293" t="s">
        <v>469</v>
      </c>
      <c r="BW68" s="293" t="s">
        <v>469</v>
      </c>
      <c r="BX68" s="293" t="s">
        <v>469</v>
      </c>
      <c r="BY68" s="294" t="s">
        <v>469</v>
      </c>
      <c r="CA68" s="288" t="s">
        <v>469</v>
      </c>
      <c r="CB68" s="292" t="s">
        <v>469</v>
      </c>
      <c r="CC68" s="293" t="s">
        <v>469</v>
      </c>
      <c r="CD68" s="293" t="s">
        <v>469</v>
      </c>
      <c r="CE68" s="293" t="s">
        <v>469</v>
      </c>
      <c r="CF68" s="293" t="s">
        <v>469</v>
      </c>
      <c r="CG68" s="294" t="s">
        <v>469</v>
      </c>
      <c r="CI68" s="288" t="s">
        <v>469</v>
      </c>
      <c r="CJ68" s="292" t="s">
        <v>469</v>
      </c>
      <c r="CK68" s="293" t="s">
        <v>469</v>
      </c>
      <c r="CL68" s="293" t="s">
        <v>469</v>
      </c>
      <c r="CM68" s="293" t="s">
        <v>469</v>
      </c>
      <c r="CN68" s="293" t="s">
        <v>469</v>
      </c>
      <c r="CO68" s="294" t="s">
        <v>469</v>
      </c>
      <c r="CQ68" s="295" t="e">
        <v>#REF!</v>
      </c>
      <c r="CR68" s="209" t="e">
        <v>#REF!</v>
      </c>
    </row>
    <row r="69" spans="2:96" ht="15.75" customHeight="1">
      <c r="B69" s="365"/>
      <c r="C69" s="366"/>
      <c r="D69" s="366"/>
      <c r="E69" s="367"/>
      <c r="F69" s="366"/>
      <c r="G69" s="368"/>
      <c r="H69" s="369"/>
      <c r="I69" s="370"/>
      <c r="J69" s="367"/>
      <c r="L69" s="315"/>
      <c r="M69" s="209" t="e">
        <v>#REF!</v>
      </c>
      <c r="O69" s="344">
        <v>8300</v>
      </c>
      <c r="P69" s="345" t="s">
        <v>393</v>
      </c>
      <c r="Q69" s="244"/>
      <c r="R69" s="245"/>
      <c r="S69" s="285">
        <v>30000</v>
      </c>
      <c r="T69" s="286">
        <v>1.1148272017837235</v>
      </c>
      <c r="U69" s="287">
        <v>33444.816053511706</v>
      </c>
      <c r="V69" s="208" t="s">
        <v>285</v>
      </c>
      <c r="W69" s="248" t="s">
        <v>279</v>
      </c>
      <c r="X69" s="271" t="e">
        <v>#REF!</v>
      </c>
      <c r="Y69" s="271" t="s">
        <v>469</v>
      </c>
      <c r="Z69" s="271" t="s">
        <v>469</v>
      </c>
      <c r="AA69" s="271" t="s">
        <v>469</v>
      </c>
      <c r="AB69" s="271" t="s">
        <v>469</v>
      </c>
      <c r="AC69" s="272" t="s">
        <v>469</v>
      </c>
      <c r="AE69" s="288" t="s">
        <v>469</v>
      </c>
      <c r="AF69" s="292" t="s">
        <v>469</v>
      </c>
      <c r="AG69" s="293" t="s">
        <v>469</v>
      </c>
      <c r="AH69" s="293" t="s">
        <v>469</v>
      </c>
      <c r="AI69" s="293" t="s">
        <v>469</v>
      </c>
      <c r="AJ69" s="293" t="s">
        <v>469</v>
      </c>
      <c r="AK69" s="294" t="s">
        <v>469</v>
      </c>
      <c r="AM69" s="288">
        <v>33444.816053511706</v>
      </c>
      <c r="AN69" s="292" t="e">
        <v>#REF!</v>
      </c>
      <c r="AO69" s="293" t="s">
        <v>469</v>
      </c>
      <c r="AP69" s="293" t="s">
        <v>469</v>
      </c>
      <c r="AQ69" s="293" t="s">
        <v>469</v>
      </c>
      <c r="AR69" s="293" t="s">
        <v>469</v>
      </c>
      <c r="AS69" s="294" t="s">
        <v>469</v>
      </c>
      <c r="AU69" s="288" t="s">
        <v>469</v>
      </c>
      <c r="AV69" s="292" t="s">
        <v>469</v>
      </c>
      <c r="AW69" s="293" t="s">
        <v>469</v>
      </c>
      <c r="AX69" s="293" t="s">
        <v>469</v>
      </c>
      <c r="AY69" s="293" t="s">
        <v>469</v>
      </c>
      <c r="AZ69" s="293" t="s">
        <v>469</v>
      </c>
      <c r="BA69" s="294" t="s">
        <v>469</v>
      </c>
      <c r="BC69" s="288" t="s">
        <v>469</v>
      </c>
      <c r="BD69" s="292" t="s">
        <v>469</v>
      </c>
      <c r="BE69" s="293" t="s">
        <v>469</v>
      </c>
      <c r="BF69" s="293" t="s">
        <v>469</v>
      </c>
      <c r="BG69" s="293" t="s">
        <v>469</v>
      </c>
      <c r="BH69" s="293" t="s">
        <v>469</v>
      </c>
      <c r="BI69" s="294" t="s">
        <v>469</v>
      </c>
      <c r="BK69" s="288" t="s">
        <v>469</v>
      </c>
      <c r="BL69" s="292" t="s">
        <v>469</v>
      </c>
      <c r="BM69" s="293" t="s">
        <v>469</v>
      </c>
      <c r="BN69" s="293" t="s">
        <v>469</v>
      </c>
      <c r="BO69" s="293" t="s">
        <v>469</v>
      </c>
      <c r="BP69" s="293" t="s">
        <v>469</v>
      </c>
      <c r="BQ69" s="294" t="s">
        <v>469</v>
      </c>
      <c r="BS69" s="288" t="s">
        <v>469</v>
      </c>
      <c r="BT69" s="292" t="s">
        <v>469</v>
      </c>
      <c r="BU69" s="293" t="s">
        <v>469</v>
      </c>
      <c r="BV69" s="293" t="s">
        <v>469</v>
      </c>
      <c r="BW69" s="293" t="s">
        <v>469</v>
      </c>
      <c r="BX69" s="293" t="s">
        <v>469</v>
      </c>
      <c r="BY69" s="294" t="s">
        <v>469</v>
      </c>
      <c r="CA69" s="288" t="s">
        <v>469</v>
      </c>
      <c r="CB69" s="292" t="s">
        <v>469</v>
      </c>
      <c r="CC69" s="293" t="s">
        <v>469</v>
      </c>
      <c r="CD69" s="293" t="s">
        <v>469</v>
      </c>
      <c r="CE69" s="293" t="s">
        <v>469</v>
      </c>
      <c r="CF69" s="293" t="s">
        <v>469</v>
      </c>
      <c r="CG69" s="294" t="s">
        <v>469</v>
      </c>
      <c r="CI69" s="288" t="s">
        <v>469</v>
      </c>
      <c r="CJ69" s="292" t="s">
        <v>469</v>
      </c>
      <c r="CK69" s="293" t="s">
        <v>469</v>
      </c>
      <c r="CL69" s="293" t="s">
        <v>469</v>
      </c>
      <c r="CM69" s="293" t="s">
        <v>469</v>
      </c>
      <c r="CN69" s="293" t="s">
        <v>469</v>
      </c>
      <c r="CO69" s="294" t="s">
        <v>469</v>
      </c>
      <c r="CQ69" s="295" t="e">
        <v>#REF!</v>
      </c>
      <c r="CR69" s="209"/>
    </row>
    <row r="70" spans="2:95" ht="15.75" customHeight="1">
      <c r="B70" s="365"/>
      <c r="C70" s="366"/>
      <c r="D70" s="366"/>
      <c r="E70" s="367"/>
      <c r="F70" s="366"/>
      <c r="G70" s="368"/>
      <c r="H70" s="369"/>
      <c r="I70" s="370"/>
      <c r="J70" s="367"/>
      <c r="L70" s="315"/>
      <c r="M70" s="209"/>
      <c r="O70" s="371"/>
      <c r="P70" s="242"/>
      <c r="Q70" s="242"/>
      <c r="R70" s="372"/>
      <c r="S70" s="373"/>
      <c r="T70" s="246"/>
      <c r="U70" s="247"/>
      <c r="W70" s="248"/>
      <c r="X70" s="271" t="s">
        <v>469</v>
      </c>
      <c r="Y70" s="271" t="s">
        <v>469</v>
      </c>
      <c r="Z70" s="271" t="s">
        <v>469</v>
      </c>
      <c r="AA70" s="271" t="s">
        <v>469</v>
      </c>
      <c r="AB70" s="271" t="s">
        <v>469</v>
      </c>
      <c r="AC70" s="272" t="s">
        <v>469</v>
      </c>
      <c r="AE70" s="288" t="s">
        <v>469</v>
      </c>
      <c r="AF70" s="292" t="s">
        <v>469</v>
      </c>
      <c r="AG70" s="293" t="s">
        <v>469</v>
      </c>
      <c r="AH70" s="293" t="s">
        <v>469</v>
      </c>
      <c r="AI70" s="293" t="s">
        <v>469</v>
      </c>
      <c r="AJ70" s="293" t="s">
        <v>469</v>
      </c>
      <c r="AK70" s="294" t="s">
        <v>469</v>
      </c>
      <c r="AM70" s="288" t="s">
        <v>469</v>
      </c>
      <c r="AN70" s="292" t="s">
        <v>469</v>
      </c>
      <c r="AO70" s="293" t="s">
        <v>469</v>
      </c>
      <c r="AP70" s="293" t="s">
        <v>469</v>
      </c>
      <c r="AQ70" s="293" t="s">
        <v>469</v>
      </c>
      <c r="AR70" s="293" t="s">
        <v>469</v>
      </c>
      <c r="AS70" s="294" t="s">
        <v>469</v>
      </c>
      <c r="AU70" s="288" t="s">
        <v>469</v>
      </c>
      <c r="AV70" s="292" t="s">
        <v>469</v>
      </c>
      <c r="AW70" s="293" t="s">
        <v>469</v>
      </c>
      <c r="AX70" s="293" t="s">
        <v>469</v>
      </c>
      <c r="AY70" s="293" t="s">
        <v>469</v>
      </c>
      <c r="AZ70" s="293" t="s">
        <v>469</v>
      </c>
      <c r="BA70" s="294" t="s">
        <v>469</v>
      </c>
      <c r="BC70" s="288" t="s">
        <v>469</v>
      </c>
      <c r="BD70" s="292" t="s">
        <v>469</v>
      </c>
      <c r="BE70" s="293" t="s">
        <v>469</v>
      </c>
      <c r="BF70" s="293" t="s">
        <v>469</v>
      </c>
      <c r="BG70" s="293" t="s">
        <v>469</v>
      </c>
      <c r="BH70" s="293" t="s">
        <v>469</v>
      </c>
      <c r="BI70" s="294" t="s">
        <v>469</v>
      </c>
      <c r="BK70" s="288" t="s">
        <v>469</v>
      </c>
      <c r="BL70" s="292" t="s">
        <v>469</v>
      </c>
      <c r="BM70" s="293" t="s">
        <v>469</v>
      </c>
      <c r="BN70" s="293" t="s">
        <v>469</v>
      </c>
      <c r="BO70" s="293" t="s">
        <v>469</v>
      </c>
      <c r="BP70" s="293" t="s">
        <v>469</v>
      </c>
      <c r="BQ70" s="294" t="s">
        <v>469</v>
      </c>
      <c r="BS70" s="288" t="s">
        <v>469</v>
      </c>
      <c r="BT70" s="292" t="s">
        <v>469</v>
      </c>
      <c r="BU70" s="293" t="s">
        <v>469</v>
      </c>
      <c r="BV70" s="293" t="s">
        <v>469</v>
      </c>
      <c r="BW70" s="293" t="s">
        <v>469</v>
      </c>
      <c r="BX70" s="293" t="s">
        <v>469</v>
      </c>
      <c r="BY70" s="294" t="s">
        <v>469</v>
      </c>
      <c r="CA70" s="288" t="s">
        <v>469</v>
      </c>
      <c r="CB70" s="292" t="s">
        <v>469</v>
      </c>
      <c r="CC70" s="293" t="s">
        <v>469</v>
      </c>
      <c r="CD70" s="293" t="s">
        <v>469</v>
      </c>
      <c r="CE70" s="293" t="s">
        <v>469</v>
      </c>
      <c r="CF70" s="293" t="s">
        <v>469</v>
      </c>
      <c r="CG70" s="294" t="s">
        <v>469</v>
      </c>
      <c r="CI70" s="288" t="s">
        <v>469</v>
      </c>
      <c r="CJ70" s="292" t="s">
        <v>469</v>
      </c>
      <c r="CK70" s="293" t="s">
        <v>469</v>
      </c>
      <c r="CL70" s="293" t="s">
        <v>469</v>
      </c>
      <c r="CM70" s="293" t="s">
        <v>469</v>
      </c>
      <c r="CN70" s="293" t="s">
        <v>469</v>
      </c>
      <c r="CO70" s="294" t="s">
        <v>469</v>
      </c>
      <c r="CQ70" s="295" t="e">
        <v>#REF!</v>
      </c>
    </row>
    <row r="71" spans="2:95" ht="15.75" customHeight="1">
      <c r="B71" s="365"/>
      <c r="C71" s="366"/>
      <c r="D71" s="366"/>
      <c r="E71" s="367"/>
      <c r="F71" s="366"/>
      <c r="G71" s="374"/>
      <c r="H71" s="369"/>
      <c r="I71" s="370"/>
      <c r="J71" s="367"/>
      <c r="L71" s="315"/>
      <c r="M71" s="263"/>
      <c r="O71" s="375"/>
      <c r="P71" s="376" t="s">
        <v>394</v>
      </c>
      <c r="Q71" s="377"/>
      <c r="R71" s="378"/>
      <c r="S71" s="379" t="e">
        <v>#REF!</v>
      </c>
      <c r="T71" s="379"/>
      <c r="U71" s="380" t="e">
        <v>#REF!</v>
      </c>
      <c r="W71" s="248"/>
      <c r="X71" s="271" t="s">
        <v>469</v>
      </c>
      <c r="Y71" s="271" t="s">
        <v>469</v>
      </c>
      <c r="Z71" s="271" t="s">
        <v>469</v>
      </c>
      <c r="AA71" s="271" t="s">
        <v>469</v>
      </c>
      <c r="AB71" s="271" t="s">
        <v>469</v>
      </c>
      <c r="AC71" s="272" t="s">
        <v>469</v>
      </c>
      <c r="AE71" s="288" t="s">
        <v>469</v>
      </c>
      <c r="AF71" s="292" t="s">
        <v>469</v>
      </c>
      <c r="AG71" s="293" t="s">
        <v>469</v>
      </c>
      <c r="AH71" s="293" t="s">
        <v>469</v>
      </c>
      <c r="AI71" s="293" t="s">
        <v>469</v>
      </c>
      <c r="AJ71" s="293" t="s">
        <v>469</v>
      </c>
      <c r="AK71" s="294" t="s">
        <v>469</v>
      </c>
      <c r="AM71" s="288" t="s">
        <v>469</v>
      </c>
      <c r="AN71" s="292" t="s">
        <v>469</v>
      </c>
      <c r="AO71" s="293" t="s">
        <v>469</v>
      </c>
      <c r="AP71" s="293" t="s">
        <v>469</v>
      </c>
      <c r="AQ71" s="293" t="s">
        <v>469</v>
      </c>
      <c r="AR71" s="293" t="s">
        <v>469</v>
      </c>
      <c r="AS71" s="294" t="s">
        <v>469</v>
      </c>
      <c r="AU71" s="288" t="s">
        <v>469</v>
      </c>
      <c r="AV71" s="292" t="s">
        <v>469</v>
      </c>
      <c r="AW71" s="293" t="s">
        <v>469</v>
      </c>
      <c r="AX71" s="293" t="s">
        <v>469</v>
      </c>
      <c r="AY71" s="293" t="s">
        <v>469</v>
      </c>
      <c r="AZ71" s="293" t="s">
        <v>469</v>
      </c>
      <c r="BA71" s="294" t="s">
        <v>469</v>
      </c>
      <c r="BC71" s="288" t="s">
        <v>469</v>
      </c>
      <c r="BD71" s="292" t="s">
        <v>469</v>
      </c>
      <c r="BE71" s="293" t="s">
        <v>469</v>
      </c>
      <c r="BF71" s="293" t="s">
        <v>469</v>
      </c>
      <c r="BG71" s="293" t="s">
        <v>469</v>
      </c>
      <c r="BH71" s="293" t="s">
        <v>469</v>
      </c>
      <c r="BI71" s="294" t="s">
        <v>469</v>
      </c>
      <c r="BK71" s="288" t="s">
        <v>469</v>
      </c>
      <c r="BL71" s="292" t="s">
        <v>469</v>
      </c>
      <c r="BM71" s="293" t="s">
        <v>469</v>
      </c>
      <c r="BN71" s="293" t="s">
        <v>469</v>
      </c>
      <c r="BO71" s="293" t="s">
        <v>469</v>
      </c>
      <c r="BP71" s="293" t="s">
        <v>469</v>
      </c>
      <c r="BQ71" s="294" t="s">
        <v>469</v>
      </c>
      <c r="BS71" s="288" t="s">
        <v>469</v>
      </c>
      <c r="BT71" s="292" t="s">
        <v>469</v>
      </c>
      <c r="BU71" s="293" t="s">
        <v>469</v>
      </c>
      <c r="BV71" s="293" t="s">
        <v>469</v>
      </c>
      <c r="BW71" s="293" t="s">
        <v>469</v>
      </c>
      <c r="BX71" s="293" t="s">
        <v>469</v>
      </c>
      <c r="BY71" s="294" t="s">
        <v>469</v>
      </c>
      <c r="CA71" s="288" t="s">
        <v>469</v>
      </c>
      <c r="CB71" s="292" t="s">
        <v>469</v>
      </c>
      <c r="CC71" s="293" t="s">
        <v>469</v>
      </c>
      <c r="CD71" s="293" t="s">
        <v>469</v>
      </c>
      <c r="CE71" s="293" t="s">
        <v>469</v>
      </c>
      <c r="CF71" s="293" t="s">
        <v>469</v>
      </c>
      <c r="CG71" s="294" t="s">
        <v>469</v>
      </c>
      <c r="CI71" s="288" t="s">
        <v>469</v>
      </c>
      <c r="CJ71" s="292" t="s">
        <v>469</v>
      </c>
      <c r="CK71" s="293" t="s">
        <v>469</v>
      </c>
      <c r="CL71" s="293" t="s">
        <v>469</v>
      </c>
      <c r="CM71" s="293" t="s">
        <v>469</v>
      </c>
      <c r="CN71" s="293" t="s">
        <v>469</v>
      </c>
      <c r="CO71" s="294" t="s">
        <v>469</v>
      </c>
      <c r="CQ71" s="295"/>
    </row>
    <row r="72" spans="2:95" ht="15.75" customHeight="1" thickBot="1">
      <c r="B72" s="365"/>
      <c r="C72" s="366"/>
      <c r="D72" s="366"/>
      <c r="E72" s="367"/>
      <c r="F72" s="366"/>
      <c r="G72" s="374"/>
      <c r="H72" s="369"/>
      <c r="I72" s="370"/>
      <c r="J72" s="367"/>
      <c r="L72" s="315"/>
      <c r="M72" s="209"/>
      <c r="W72" s="248"/>
      <c r="X72" s="271" t="s">
        <v>469</v>
      </c>
      <c r="Y72" s="271" t="s">
        <v>469</v>
      </c>
      <c r="Z72" s="271" t="s">
        <v>469</v>
      </c>
      <c r="AA72" s="271" t="s">
        <v>469</v>
      </c>
      <c r="AB72" s="271" t="s">
        <v>469</v>
      </c>
      <c r="AC72" s="272" t="s">
        <v>469</v>
      </c>
      <c r="AE72" s="288" t="s">
        <v>469</v>
      </c>
      <c r="AF72" s="292" t="s">
        <v>469</v>
      </c>
      <c r="AG72" s="293" t="s">
        <v>469</v>
      </c>
      <c r="AH72" s="293" t="s">
        <v>469</v>
      </c>
      <c r="AI72" s="293" t="s">
        <v>469</v>
      </c>
      <c r="AJ72" s="293" t="s">
        <v>469</v>
      </c>
      <c r="AK72" s="294" t="s">
        <v>469</v>
      </c>
      <c r="AM72" s="288" t="s">
        <v>469</v>
      </c>
      <c r="AN72" s="292" t="s">
        <v>469</v>
      </c>
      <c r="AO72" s="293" t="s">
        <v>469</v>
      </c>
      <c r="AP72" s="293" t="s">
        <v>469</v>
      </c>
      <c r="AQ72" s="293" t="s">
        <v>469</v>
      </c>
      <c r="AR72" s="293" t="s">
        <v>469</v>
      </c>
      <c r="AS72" s="294" t="s">
        <v>469</v>
      </c>
      <c r="AU72" s="288" t="s">
        <v>469</v>
      </c>
      <c r="AV72" s="292" t="s">
        <v>469</v>
      </c>
      <c r="AW72" s="293" t="s">
        <v>469</v>
      </c>
      <c r="AX72" s="293" t="s">
        <v>469</v>
      </c>
      <c r="AY72" s="293" t="s">
        <v>469</v>
      </c>
      <c r="AZ72" s="293" t="s">
        <v>469</v>
      </c>
      <c r="BA72" s="294" t="s">
        <v>469</v>
      </c>
      <c r="BC72" s="288" t="s">
        <v>469</v>
      </c>
      <c r="BD72" s="292" t="s">
        <v>469</v>
      </c>
      <c r="BE72" s="293" t="s">
        <v>469</v>
      </c>
      <c r="BF72" s="293" t="s">
        <v>469</v>
      </c>
      <c r="BG72" s="293" t="s">
        <v>469</v>
      </c>
      <c r="BH72" s="293" t="s">
        <v>469</v>
      </c>
      <c r="BI72" s="294" t="s">
        <v>469</v>
      </c>
      <c r="BK72" s="288" t="s">
        <v>469</v>
      </c>
      <c r="BL72" s="292" t="s">
        <v>469</v>
      </c>
      <c r="BM72" s="293" t="s">
        <v>469</v>
      </c>
      <c r="BN72" s="293" t="s">
        <v>469</v>
      </c>
      <c r="BO72" s="293" t="s">
        <v>469</v>
      </c>
      <c r="BP72" s="293" t="s">
        <v>469</v>
      </c>
      <c r="BQ72" s="294" t="s">
        <v>469</v>
      </c>
      <c r="BS72" s="288" t="s">
        <v>469</v>
      </c>
      <c r="BT72" s="292" t="s">
        <v>469</v>
      </c>
      <c r="BU72" s="293" t="s">
        <v>469</v>
      </c>
      <c r="BV72" s="293" t="s">
        <v>469</v>
      </c>
      <c r="BW72" s="293" t="s">
        <v>469</v>
      </c>
      <c r="BX72" s="293" t="s">
        <v>469</v>
      </c>
      <c r="BY72" s="294" t="s">
        <v>469</v>
      </c>
      <c r="CA72" s="288" t="s">
        <v>469</v>
      </c>
      <c r="CB72" s="292" t="s">
        <v>469</v>
      </c>
      <c r="CC72" s="293" t="s">
        <v>469</v>
      </c>
      <c r="CD72" s="293" t="s">
        <v>469</v>
      </c>
      <c r="CE72" s="293" t="s">
        <v>469</v>
      </c>
      <c r="CF72" s="293" t="s">
        <v>469</v>
      </c>
      <c r="CG72" s="294" t="s">
        <v>469</v>
      </c>
      <c r="CI72" s="288" t="s">
        <v>469</v>
      </c>
      <c r="CJ72" s="292" t="s">
        <v>469</v>
      </c>
      <c r="CK72" s="293" t="s">
        <v>469</v>
      </c>
      <c r="CL72" s="293" t="s">
        <v>469</v>
      </c>
      <c r="CM72" s="293" t="s">
        <v>469</v>
      </c>
      <c r="CN72" s="293" t="s">
        <v>469</v>
      </c>
      <c r="CO72" s="294" t="s">
        <v>469</v>
      </c>
      <c r="CQ72" s="295" t="e">
        <v>#REF!</v>
      </c>
    </row>
    <row r="73" spans="2:95" ht="15.75" customHeight="1" thickBot="1">
      <c r="B73" s="365"/>
      <c r="C73" s="366"/>
      <c r="D73" s="366"/>
      <c r="E73" s="367"/>
      <c r="F73" s="366"/>
      <c r="G73" s="374"/>
      <c r="H73" s="369"/>
      <c r="I73" s="370"/>
      <c r="J73" s="367"/>
      <c r="L73" s="315"/>
      <c r="M73" s="263" t="e">
        <v>#REF!</v>
      </c>
      <c r="O73" s="381"/>
      <c r="P73" s="382" t="s">
        <v>471</v>
      </c>
      <c r="Q73" s="383"/>
      <c r="R73" s="383"/>
      <c r="S73" s="384">
        <v>0</v>
      </c>
      <c r="T73" s="385">
        <v>1.1148272017837235</v>
      </c>
      <c r="U73" s="386">
        <v>0</v>
      </c>
      <c r="V73" s="208" t="s">
        <v>290</v>
      </c>
      <c r="W73" s="248" t="s">
        <v>210</v>
      </c>
      <c r="X73" s="271" t="s">
        <v>469</v>
      </c>
      <c r="Y73" s="271" t="s">
        <v>469</v>
      </c>
      <c r="Z73" s="271" t="s">
        <v>469</v>
      </c>
      <c r="AA73" s="271" t="e">
        <v>#REF!</v>
      </c>
      <c r="AB73" s="271" t="s">
        <v>469</v>
      </c>
      <c r="AC73" s="272" t="s">
        <v>469</v>
      </c>
      <c r="AE73" s="288" t="s">
        <v>469</v>
      </c>
      <c r="AF73" s="292" t="s">
        <v>469</v>
      </c>
      <c r="AG73" s="293" t="s">
        <v>469</v>
      </c>
      <c r="AH73" s="293" t="s">
        <v>469</v>
      </c>
      <c r="AI73" s="293" t="s">
        <v>469</v>
      </c>
      <c r="AJ73" s="293" t="s">
        <v>469</v>
      </c>
      <c r="AK73" s="294" t="s">
        <v>469</v>
      </c>
      <c r="AM73" s="288" t="s">
        <v>469</v>
      </c>
      <c r="AN73" s="292" t="s">
        <v>469</v>
      </c>
      <c r="AO73" s="293" t="s">
        <v>469</v>
      </c>
      <c r="AP73" s="293" t="s">
        <v>469</v>
      </c>
      <c r="AQ73" s="293" t="s">
        <v>469</v>
      </c>
      <c r="AR73" s="293" t="s">
        <v>469</v>
      </c>
      <c r="AS73" s="294" t="s">
        <v>469</v>
      </c>
      <c r="AU73" s="288" t="s">
        <v>469</v>
      </c>
      <c r="AV73" s="292" t="s">
        <v>469</v>
      </c>
      <c r="AW73" s="293" t="s">
        <v>469</v>
      </c>
      <c r="AX73" s="293" t="s">
        <v>469</v>
      </c>
      <c r="AY73" s="293" t="s">
        <v>469</v>
      </c>
      <c r="AZ73" s="293" t="s">
        <v>469</v>
      </c>
      <c r="BA73" s="294" t="s">
        <v>469</v>
      </c>
      <c r="BC73" s="288" t="s">
        <v>469</v>
      </c>
      <c r="BD73" s="292" t="s">
        <v>469</v>
      </c>
      <c r="BE73" s="293" t="s">
        <v>469</v>
      </c>
      <c r="BF73" s="293" t="s">
        <v>469</v>
      </c>
      <c r="BG73" s="293" t="s">
        <v>469</v>
      </c>
      <c r="BH73" s="293" t="s">
        <v>469</v>
      </c>
      <c r="BI73" s="294" t="s">
        <v>469</v>
      </c>
      <c r="BK73" s="288" t="s">
        <v>469</v>
      </c>
      <c r="BL73" s="292" t="s">
        <v>469</v>
      </c>
      <c r="BM73" s="293" t="s">
        <v>469</v>
      </c>
      <c r="BN73" s="293" t="s">
        <v>469</v>
      </c>
      <c r="BO73" s="293" t="s">
        <v>469</v>
      </c>
      <c r="BP73" s="293" t="s">
        <v>469</v>
      </c>
      <c r="BQ73" s="294" t="s">
        <v>469</v>
      </c>
      <c r="BS73" s="288" t="s">
        <v>469</v>
      </c>
      <c r="BT73" s="292" t="s">
        <v>469</v>
      </c>
      <c r="BU73" s="293" t="s">
        <v>469</v>
      </c>
      <c r="BV73" s="293" t="s">
        <v>469</v>
      </c>
      <c r="BW73" s="293" t="s">
        <v>469</v>
      </c>
      <c r="BX73" s="293" t="s">
        <v>469</v>
      </c>
      <c r="BY73" s="294" t="s">
        <v>469</v>
      </c>
      <c r="CA73" s="288">
        <v>0</v>
      </c>
      <c r="CB73" s="292" t="s">
        <v>469</v>
      </c>
      <c r="CC73" s="293" t="s">
        <v>469</v>
      </c>
      <c r="CD73" s="293" t="s">
        <v>469</v>
      </c>
      <c r="CE73" s="293" t="e">
        <v>#REF!</v>
      </c>
      <c r="CF73" s="293" t="s">
        <v>469</v>
      </c>
      <c r="CG73" s="294" t="s">
        <v>469</v>
      </c>
      <c r="CI73" s="288" t="s">
        <v>469</v>
      </c>
      <c r="CJ73" s="292" t="s">
        <v>469</v>
      </c>
      <c r="CK73" s="293" t="s">
        <v>469</v>
      </c>
      <c r="CL73" s="293" t="s">
        <v>469</v>
      </c>
      <c r="CM73" s="293" t="s">
        <v>469</v>
      </c>
      <c r="CN73" s="293" t="s">
        <v>469</v>
      </c>
      <c r="CO73" s="294" t="s">
        <v>469</v>
      </c>
      <c r="CQ73" s="295" t="e">
        <v>#REF!</v>
      </c>
    </row>
    <row r="74" spans="2:96" ht="15.75" customHeight="1" thickBot="1">
      <c r="B74" s="365"/>
      <c r="C74" s="366"/>
      <c r="D74" s="366"/>
      <c r="E74" s="367"/>
      <c r="F74" s="366"/>
      <c r="G74" s="374"/>
      <c r="H74" s="369"/>
      <c r="I74" s="370"/>
      <c r="J74" s="367"/>
      <c r="L74" s="315"/>
      <c r="M74" s="315"/>
      <c r="U74" s="210"/>
      <c r="W74" s="248"/>
      <c r="X74" s="271" t="s">
        <v>469</v>
      </c>
      <c r="Y74" s="271" t="s">
        <v>469</v>
      </c>
      <c r="Z74" s="271" t="s">
        <v>469</v>
      </c>
      <c r="AA74" s="271" t="s">
        <v>469</v>
      </c>
      <c r="AB74" s="271" t="s">
        <v>469</v>
      </c>
      <c r="AC74" s="272" t="s">
        <v>469</v>
      </c>
      <c r="AE74" s="288">
        <v>0</v>
      </c>
      <c r="AF74" s="292" t="s">
        <v>469</v>
      </c>
      <c r="AG74" s="293" t="s">
        <v>469</v>
      </c>
      <c r="AH74" s="293" t="s">
        <v>469</v>
      </c>
      <c r="AI74" s="293" t="s">
        <v>469</v>
      </c>
      <c r="AJ74" s="293" t="s">
        <v>469</v>
      </c>
      <c r="AK74" s="294" t="s">
        <v>469</v>
      </c>
      <c r="AM74" s="288">
        <v>310897989.2165586</v>
      </c>
      <c r="AN74" s="292" t="s">
        <v>469</v>
      </c>
      <c r="AO74" s="293" t="s">
        <v>469</v>
      </c>
      <c r="AP74" s="293" t="s">
        <v>469</v>
      </c>
      <c r="AQ74" s="293" t="s">
        <v>469</v>
      </c>
      <c r="AR74" s="293" t="s">
        <v>469</v>
      </c>
      <c r="AS74" s="294" t="s">
        <v>469</v>
      </c>
      <c r="AU74" s="288">
        <v>2012263.099219621</v>
      </c>
      <c r="AV74" s="292" t="s">
        <v>469</v>
      </c>
      <c r="AW74" s="293" t="s">
        <v>469</v>
      </c>
      <c r="AX74" s="293" t="s">
        <v>469</v>
      </c>
      <c r="AY74" s="293" t="s">
        <v>469</v>
      </c>
      <c r="AZ74" s="293" t="s">
        <v>469</v>
      </c>
      <c r="BA74" s="294" t="s">
        <v>469</v>
      </c>
      <c r="BC74" s="288">
        <v>13704570.791527312</v>
      </c>
      <c r="BD74" s="292" t="s">
        <v>469</v>
      </c>
      <c r="BE74" s="293" t="s">
        <v>469</v>
      </c>
      <c r="BF74" s="293" t="s">
        <v>469</v>
      </c>
      <c r="BG74" s="293" t="s">
        <v>469</v>
      </c>
      <c r="BH74" s="293" t="s">
        <v>469</v>
      </c>
      <c r="BI74" s="294" t="s">
        <v>469</v>
      </c>
      <c r="BK74" s="288">
        <v>0</v>
      </c>
      <c r="BL74" s="292" t="s">
        <v>469</v>
      </c>
      <c r="BM74" s="293" t="s">
        <v>469</v>
      </c>
      <c r="BN74" s="293" t="s">
        <v>469</v>
      </c>
      <c r="BO74" s="293" t="s">
        <v>469</v>
      </c>
      <c r="BP74" s="293" t="s">
        <v>469</v>
      </c>
      <c r="BQ74" s="294" t="s">
        <v>469</v>
      </c>
      <c r="BS74" s="288">
        <v>0</v>
      </c>
      <c r="BT74" s="292" t="s">
        <v>469</v>
      </c>
      <c r="BU74" s="293" t="s">
        <v>469</v>
      </c>
      <c r="BV74" s="293" t="s">
        <v>469</v>
      </c>
      <c r="BW74" s="293" t="s">
        <v>469</v>
      </c>
      <c r="BX74" s="293" t="s">
        <v>469</v>
      </c>
      <c r="BY74" s="294" t="s">
        <v>469</v>
      </c>
      <c r="CA74" s="288">
        <v>0</v>
      </c>
      <c r="CB74" s="292" t="s">
        <v>469</v>
      </c>
      <c r="CC74" s="293" t="s">
        <v>469</v>
      </c>
      <c r="CD74" s="293" t="s">
        <v>469</v>
      </c>
      <c r="CE74" s="293" t="s">
        <v>469</v>
      </c>
      <c r="CF74" s="293" t="s">
        <v>469</v>
      </c>
      <c r="CG74" s="294" t="s">
        <v>469</v>
      </c>
      <c r="CI74" s="288" t="e">
        <v>#REF!</v>
      </c>
      <c r="CJ74" s="292" t="s">
        <v>469</v>
      </c>
      <c r="CK74" s="293" t="s">
        <v>469</v>
      </c>
      <c r="CL74" s="293" t="s">
        <v>469</v>
      </c>
      <c r="CM74" s="293" t="s">
        <v>469</v>
      </c>
      <c r="CN74" s="293" t="s">
        <v>469</v>
      </c>
      <c r="CO74" s="294" t="s">
        <v>469</v>
      </c>
      <c r="CQ74" s="295" t="e">
        <v>#REF!</v>
      </c>
      <c r="CR74" s="209" t="e">
        <v>#REF!</v>
      </c>
    </row>
    <row r="75" spans="2:99" ht="15.75" customHeight="1" thickBot="1">
      <c r="B75" s="365"/>
      <c r="C75" s="366"/>
      <c r="D75" s="366"/>
      <c r="E75" s="367"/>
      <c r="F75" s="366"/>
      <c r="G75" s="374"/>
      <c r="H75" s="369"/>
      <c r="I75" s="370"/>
      <c r="J75" s="367"/>
      <c r="L75" s="315"/>
      <c r="M75" s="387" t="e">
        <v>#REF!</v>
      </c>
      <c r="T75" s="207" t="s">
        <v>395</v>
      </c>
      <c r="U75" s="386" t="e">
        <v>#REF!</v>
      </c>
      <c r="W75" s="388" t="e">
        <v>#REF!</v>
      </c>
      <c r="X75" s="389" t="e">
        <v>#REF!</v>
      </c>
      <c r="Y75" s="389" t="e">
        <v>#REF!</v>
      </c>
      <c r="Z75" s="389" t="e">
        <v>#REF!</v>
      </c>
      <c r="AA75" s="389" t="e">
        <v>#REF!</v>
      </c>
      <c r="AB75" s="389" t="e">
        <v>#REF!</v>
      </c>
      <c r="AC75" s="390" t="e">
        <v>#REF!</v>
      </c>
      <c r="AE75" s="391" t="e">
        <v>#REF!</v>
      </c>
      <c r="AF75" s="392">
        <v>0</v>
      </c>
      <c r="AG75" s="393">
        <v>0</v>
      </c>
      <c r="AH75" s="393">
        <v>0</v>
      </c>
      <c r="AI75" s="393" t="e">
        <v>#REF!</v>
      </c>
      <c r="AJ75" s="393">
        <v>0</v>
      </c>
      <c r="AK75" s="394">
        <v>0</v>
      </c>
      <c r="AM75" s="391" t="e">
        <v>#REF!</v>
      </c>
      <c r="AN75" s="392" t="e">
        <v>#REF!</v>
      </c>
      <c r="AO75" s="393">
        <v>0</v>
      </c>
      <c r="AP75" s="393">
        <v>0</v>
      </c>
      <c r="AQ75" s="393" t="e">
        <v>#REF!</v>
      </c>
      <c r="AR75" s="393" t="e">
        <v>#REF!</v>
      </c>
      <c r="AS75" s="394" t="e">
        <v>#REF!</v>
      </c>
      <c r="AU75" s="391" t="e">
        <v>#REF!</v>
      </c>
      <c r="AV75" s="392">
        <v>0</v>
      </c>
      <c r="AW75" s="393" t="e">
        <v>#REF!</v>
      </c>
      <c r="AX75" s="393">
        <v>0</v>
      </c>
      <c r="AY75" s="393">
        <v>0</v>
      </c>
      <c r="AZ75" s="393">
        <v>0</v>
      </c>
      <c r="BA75" s="394">
        <v>0</v>
      </c>
      <c r="BC75" s="391" t="e">
        <v>#REF!</v>
      </c>
      <c r="BD75" s="392" t="e">
        <v>#REF!</v>
      </c>
      <c r="BE75" s="393">
        <v>0</v>
      </c>
      <c r="BF75" s="393">
        <v>0</v>
      </c>
      <c r="BG75" s="393" t="e">
        <v>#REF!</v>
      </c>
      <c r="BH75" s="393" t="e">
        <v>#REF!</v>
      </c>
      <c r="BI75" s="394" t="e">
        <v>#REF!</v>
      </c>
      <c r="BK75" s="391">
        <v>0</v>
      </c>
      <c r="BL75" s="392">
        <v>0</v>
      </c>
      <c r="BM75" s="393">
        <v>0</v>
      </c>
      <c r="BN75" s="393">
        <v>0</v>
      </c>
      <c r="BO75" s="393">
        <v>0</v>
      </c>
      <c r="BP75" s="393">
        <v>0</v>
      </c>
      <c r="BQ75" s="394">
        <v>0</v>
      </c>
      <c r="BS75" s="391">
        <v>0</v>
      </c>
      <c r="BT75" s="392">
        <v>0</v>
      </c>
      <c r="BU75" s="393">
        <v>0</v>
      </c>
      <c r="BV75" s="393">
        <v>0</v>
      </c>
      <c r="BW75" s="393">
        <v>0</v>
      </c>
      <c r="BX75" s="393">
        <v>0</v>
      </c>
      <c r="BY75" s="394">
        <v>0</v>
      </c>
      <c r="CA75" s="391" t="e">
        <v>#REF!</v>
      </c>
      <c r="CB75" s="392">
        <v>0</v>
      </c>
      <c r="CC75" s="393">
        <v>0</v>
      </c>
      <c r="CD75" s="393">
        <v>0</v>
      </c>
      <c r="CE75" s="393" t="e">
        <v>#REF!</v>
      </c>
      <c r="CF75" s="393">
        <v>0</v>
      </c>
      <c r="CG75" s="394">
        <v>0</v>
      </c>
      <c r="CI75" s="391" t="e">
        <v>#REF!</v>
      </c>
      <c r="CJ75" s="392">
        <v>0</v>
      </c>
      <c r="CK75" s="393" t="e">
        <v>#REF!</v>
      </c>
      <c r="CL75" s="393" t="e">
        <v>#REF!</v>
      </c>
      <c r="CM75" s="393">
        <v>0</v>
      </c>
      <c r="CN75" s="393">
        <v>0</v>
      </c>
      <c r="CO75" s="394">
        <v>0</v>
      </c>
      <c r="CQ75" s="277" t="e">
        <v>#REF!</v>
      </c>
      <c r="CT75" s="207" t="e">
        <v>#REF!</v>
      </c>
      <c r="CU75" s="278" t="e">
        <v>#REF!</v>
      </c>
    </row>
    <row r="76" spans="2:37" ht="15.75" customHeight="1">
      <c r="B76" s="365"/>
      <c r="C76" s="366"/>
      <c r="D76" s="366"/>
      <c r="E76" s="367"/>
      <c r="F76" s="367"/>
      <c r="G76" s="395"/>
      <c r="H76" s="369"/>
      <c r="I76" s="370"/>
      <c r="J76" s="367"/>
      <c r="L76" s="315"/>
      <c r="M76" s="315"/>
      <c r="AE76" s="207"/>
      <c r="AF76" s="207"/>
      <c r="AG76" s="207"/>
      <c r="AH76" s="207"/>
      <c r="AI76" s="207"/>
      <c r="AJ76" s="207"/>
      <c r="AK76" s="207"/>
    </row>
    <row r="77" spans="2:37" ht="15.75" customHeight="1">
      <c r="B77" s="365"/>
      <c r="C77" s="366"/>
      <c r="D77" s="366"/>
      <c r="E77" s="367"/>
      <c r="F77" s="366"/>
      <c r="G77" s="368"/>
      <c r="H77" s="369"/>
      <c r="I77" s="370"/>
      <c r="J77" s="367"/>
      <c r="AE77" s="207"/>
      <c r="AF77" s="207"/>
      <c r="AG77" s="207"/>
      <c r="AH77" s="207"/>
      <c r="AI77" s="207"/>
      <c r="AJ77" s="207"/>
      <c r="AK77" s="207"/>
    </row>
    <row r="78" spans="2:37" ht="15.75" customHeight="1">
      <c r="B78" s="365"/>
      <c r="C78" s="366"/>
      <c r="D78" s="366"/>
      <c r="E78" s="367"/>
      <c r="F78" s="366"/>
      <c r="AE78" s="207"/>
      <c r="AF78" s="207"/>
      <c r="AG78" s="207"/>
      <c r="AH78" s="207"/>
      <c r="AI78" s="207"/>
      <c r="AJ78" s="207"/>
      <c r="AK78" s="207"/>
    </row>
    <row r="79" spans="2:6" ht="15.75" customHeight="1">
      <c r="B79" s="365"/>
      <c r="C79" s="366"/>
      <c r="D79" s="366"/>
      <c r="E79" s="367"/>
      <c r="F79" s="366"/>
    </row>
    <row r="80" spans="2:39" s="315" customFormat="1" ht="15.75" customHeight="1">
      <c r="B80" s="220"/>
      <c r="C80" s="207"/>
      <c r="D80" s="207"/>
      <c r="E80" s="207"/>
      <c r="F80" s="207"/>
      <c r="G80" s="207"/>
      <c r="H80" s="207"/>
      <c r="I80" s="207"/>
      <c r="J80" s="207"/>
      <c r="M80" s="207"/>
      <c r="O80" s="207"/>
      <c r="V80" s="396"/>
      <c r="W80" s="397"/>
      <c r="X80" s="398" t="s">
        <v>279</v>
      </c>
      <c r="Y80" s="398" t="s">
        <v>280</v>
      </c>
      <c r="Z80" s="398" t="s">
        <v>281</v>
      </c>
      <c r="AA80" s="398" t="s">
        <v>210</v>
      </c>
      <c r="AB80" s="398" t="s">
        <v>282</v>
      </c>
      <c r="AC80" s="398" t="s">
        <v>283</v>
      </c>
      <c r="AD80" s="207"/>
      <c r="AE80" s="399"/>
      <c r="AF80" s="263"/>
      <c r="AG80" s="263"/>
      <c r="AH80" s="263"/>
      <c r="AI80" s="263"/>
      <c r="AJ80" s="263"/>
      <c r="AK80" s="263"/>
      <c r="AM80" s="399"/>
    </row>
    <row r="81" spans="13:39" s="315" customFormat="1" ht="15.75" customHeight="1">
      <c r="M81" s="207"/>
      <c r="O81" s="207"/>
      <c r="V81" s="400" t="s">
        <v>284</v>
      </c>
      <c r="W81" s="401">
        <v>0</v>
      </c>
      <c r="X81" s="293">
        <v>0</v>
      </c>
      <c r="Y81" s="293">
        <v>0</v>
      </c>
      <c r="Z81" s="293">
        <v>0</v>
      </c>
      <c r="AA81" s="293" t="e">
        <v>#REF!</v>
      </c>
      <c r="AB81" s="293">
        <v>0</v>
      </c>
      <c r="AC81" s="293">
        <v>0</v>
      </c>
      <c r="AD81" s="207"/>
      <c r="AE81" s="399"/>
      <c r="AF81" s="263"/>
      <c r="AG81" s="263"/>
      <c r="AH81" s="263"/>
      <c r="AI81" s="263"/>
      <c r="AJ81" s="263"/>
      <c r="AK81" s="263"/>
      <c r="AM81" s="399"/>
    </row>
    <row r="82" spans="2:29" ht="11.25">
      <c r="B82" s="315"/>
      <c r="C82" s="315"/>
      <c r="D82" s="315"/>
      <c r="E82" s="315"/>
      <c r="F82" s="315"/>
      <c r="G82" s="315"/>
      <c r="H82" s="315"/>
      <c r="I82" s="315"/>
      <c r="J82" s="315"/>
      <c r="V82" s="396" t="s">
        <v>285</v>
      </c>
      <c r="W82" s="401">
        <v>310897989.2165586</v>
      </c>
      <c r="X82" s="293" t="e">
        <v>#REF!</v>
      </c>
      <c r="Y82" s="293">
        <v>0</v>
      </c>
      <c r="Z82" s="293">
        <v>0</v>
      </c>
      <c r="AA82" s="293" t="e">
        <v>#REF!</v>
      </c>
      <c r="AB82" s="293" t="e">
        <v>#REF!</v>
      </c>
      <c r="AC82" s="293" t="e">
        <v>#REF!</v>
      </c>
    </row>
    <row r="83" spans="22:29" ht="11.25">
      <c r="V83" s="402" t="s">
        <v>286</v>
      </c>
      <c r="W83" s="401">
        <v>2012263.099219621</v>
      </c>
      <c r="X83" s="293">
        <v>0</v>
      </c>
      <c r="Y83" s="293" t="e">
        <v>#REF!</v>
      </c>
      <c r="Z83" s="293">
        <v>0</v>
      </c>
      <c r="AA83" s="293">
        <v>0</v>
      </c>
      <c r="AB83" s="293">
        <v>0</v>
      </c>
      <c r="AC83" s="293">
        <v>0</v>
      </c>
    </row>
    <row r="84" spans="22:29" ht="11.25">
      <c r="V84" s="402" t="s">
        <v>287</v>
      </c>
      <c r="W84" s="401">
        <v>13704570.791527312</v>
      </c>
      <c r="X84" s="293" t="e">
        <v>#REF!</v>
      </c>
      <c r="Y84" s="293">
        <v>0</v>
      </c>
      <c r="Z84" s="293">
        <v>0</v>
      </c>
      <c r="AA84" s="293" t="e">
        <v>#REF!</v>
      </c>
      <c r="AB84" s="293" t="e">
        <v>#REF!</v>
      </c>
      <c r="AC84" s="293" t="e">
        <v>#REF!</v>
      </c>
    </row>
    <row r="85" spans="22:29" ht="11.25">
      <c r="V85" s="402" t="s">
        <v>288</v>
      </c>
      <c r="W85" s="401">
        <v>0</v>
      </c>
      <c r="X85" s="293">
        <v>0</v>
      </c>
      <c r="Y85" s="293">
        <v>0</v>
      </c>
      <c r="Z85" s="293">
        <v>0</v>
      </c>
      <c r="AA85" s="293">
        <v>0</v>
      </c>
      <c r="AB85" s="293">
        <v>0</v>
      </c>
      <c r="AC85" s="293">
        <v>0</v>
      </c>
    </row>
    <row r="86" spans="22:29" ht="11.25">
      <c r="V86" s="402" t="s">
        <v>289</v>
      </c>
      <c r="W86" s="401">
        <v>0</v>
      </c>
      <c r="X86" s="293">
        <v>0</v>
      </c>
      <c r="Y86" s="293">
        <v>0</v>
      </c>
      <c r="Z86" s="293">
        <v>0</v>
      </c>
      <c r="AA86" s="293">
        <v>0</v>
      </c>
      <c r="AB86" s="293">
        <v>0</v>
      </c>
      <c r="AC86" s="293">
        <v>0</v>
      </c>
    </row>
    <row r="87" spans="22:30" ht="11.25">
      <c r="V87" s="403" t="s">
        <v>290</v>
      </c>
      <c r="W87" s="401">
        <v>0</v>
      </c>
      <c r="X87" s="404">
        <v>0</v>
      </c>
      <c r="Y87" s="404">
        <v>0</v>
      </c>
      <c r="Z87" s="404">
        <v>0</v>
      </c>
      <c r="AA87" s="404" t="e">
        <v>#REF!</v>
      </c>
      <c r="AB87" s="404">
        <v>0</v>
      </c>
      <c r="AC87" s="404">
        <v>0</v>
      </c>
      <c r="AD87" s="315"/>
    </row>
    <row r="88" spans="22:30" ht="11.25">
      <c r="V88" s="403" t="s">
        <v>291</v>
      </c>
      <c r="W88" s="401" t="e">
        <v>#REF!</v>
      </c>
      <c r="X88" s="404">
        <v>0</v>
      </c>
      <c r="Y88" s="404" t="e">
        <v>#REF!</v>
      </c>
      <c r="Z88" s="404" t="e">
        <v>#REF!</v>
      </c>
      <c r="AA88" s="404">
        <v>0</v>
      </c>
      <c r="AB88" s="404">
        <v>0</v>
      </c>
      <c r="AC88" s="404">
        <v>0</v>
      </c>
      <c r="AD88" s="315"/>
    </row>
    <row r="89" spans="23:30" ht="11.25">
      <c r="W89" s="399" t="e">
        <v>#REF!</v>
      </c>
      <c r="X89" s="209" t="e">
        <v>#REF!</v>
      </c>
      <c r="Y89" s="209" t="e">
        <v>#REF!</v>
      </c>
      <c r="Z89" s="209" t="e">
        <v>#REF!</v>
      </c>
      <c r="AA89" s="209" t="e">
        <v>#REF!</v>
      </c>
      <c r="AB89" s="209" t="e">
        <v>#REF!</v>
      </c>
      <c r="AC89" s="209" t="e">
        <v>#REF!</v>
      </c>
      <c r="AD89" s="405" t="e">
        <v>#REF!</v>
      </c>
    </row>
    <row r="90" spans="23:30" ht="11.25">
      <c r="W90" s="210" t="e">
        <v>#REF!</v>
      </c>
      <c r="X90" s="263" t="e">
        <v>#REF!</v>
      </c>
      <c r="Y90" s="263" t="e">
        <v>#REF!</v>
      </c>
      <c r="Z90" s="263" t="e">
        <v>#REF!</v>
      </c>
      <c r="AA90" s="263" t="e">
        <v>#REF!</v>
      </c>
      <c r="AB90" s="263" t="e">
        <v>#REF!</v>
      </c>
      <c r="AC90" s="263" t="e">
        <v>#REF!</v>
      </c>
      <c r="AD90" s="405" t="e">
        <v>#REF!</v>
      </c>
    </row>
    <row r="91" ht="11.25">
      <c r="W91" s="207" t="s">
        <v>396</v>
      </c>
    </row>
    <row r="93" ht="11.25">
      <c r="W93" s="210" t="e">
        <v>#REF!</v>
      </c>
    </row>
    <row r="111" spans="2:39" s="340" customFormat="1" ht="11.25">
      <c r="B111" s="220"/>
      <c r="C111" s="207"/>
      <c r="D111" s="207"/>
      <c r="E111" s="207"/>
      <c r="F111" s="207"/>
      <c r="G111" s="207"/>
      <c r="H111" s="207"/>
      <c r="I111" s="207"/>
      <c r="J111" s="207"/>
      <c r="M111" s="207"/>
      <c r="O111" s="207"/>
      <c r="V111" s="406"/>
      <c r="X111" s="407"/>
      <c r="Y111" s="407"/>
      <c r="Z111" s="407"/>
      <c r="AA111" s="407"/>
      <c r="AB111" s="407"/>
      <c r="AC111" s="407"/>
      <c r="AE111" s="408"/>
      <c r="AF111" s="407"/>
      <c r="AG111" s="407"/>
      <c r="AH111" s="407"/>
      <c r="AI111" s="407"/>
      <c r="AJ111" s="407"/>
      <c r="AK111" s="407"/>
      <c r="AM111" s="408"/>
    </row>
    <row r="112" spans="2:39" s="343" customFormat="1" ht="11.25">
      <c r="B112" s="340"/>
      <c r="C112" s="340"/>
      <c r="D112" s="340"/>
      <c r="E112" s="340"/>
      <c r="F112" s="340"/>
      <c r="G112" s="340"/>
      <c r="H112" s="340"/>
      <c r="I112" s="340"/>
      <c r="J112" s="340"/>
      <c r="M112" s="207"/>
      <c r="O112" s="207"/>
      <c r="V112" s="409"/>
      <c r="X112" s="410"/>
      <c r="Y112" s="410"/>
      <c r="Z112" s="410"/>
      <c r="AA112" s="410"/>
      <c r="AB112" s="410"/>
      <c r="AC112" s="410"/>
      <c r="AE112" s="411"/>
      <c r="AF112" s="410"/>
      <c r="AG112" s="410"/>
      <c r="AH112" s="410"/>
      <c r="AI112" s="410"/>
      <c r="AJ112" s="410"/>
      <c r="AK112" s="410"/>
      <c r="AM112" s="411"/>
    </row>
    <row r="113" spans="13:39" s="343" customFormat="1" ht="11.25">
      <c r="M113" s="207"/>
      <c r="O113" s="207"/>
      <c r="V113" s="409"/>
      <c r="X113" s="410"/>
      <c r="Y113" s="410"/>
      <c r="Z113" s="410"/>
      <c r="AA113" s="410"/>
      <c r="AB113" s="410"/>
      <c r="AC113" s="410"/>
      <c r="AE113" s="411"/>
      <c r="AF113" s="410"/>
      <c r="AG113" s="410"/>
      <c r="AH113" s="410"/>
      <c r="AI113" s="410"/>
      <c r="AJ113" s="410"/>
      <c r="AK113" s="410"/>
      <c r="AM113" s="411"/>
    </row>
    <row r="114" spans="2:10" ht="11.25">
      <c r="B114" s="343"/>
      <c r="C114" s="343"/>
      <c r="D114" s="343"/>
      <c r="E114" s="343"/>
      <c r="F114" s="343"/>
      <c r="G114" s="343"/>
      <c r="H114" s="343"/>
      <c r="I114" s="343"/>
      <c r="J114" s="343"/>
    </row>
    <row r="115" spans="2:39" s="343" customFormat="1" ht="11.25">
      <c r="B115" s="220"/>
      <c r="C115" s="207"/>
      <c r="D115" s="207"/>
      <c r="E115" s="207"/>
      <c r="F115" s="207"/>
      <c r="G115" s="207"/>
      <c r="H115" s="207"/>
      <c r="I115" s="207"/>
      <c r="J115" s="207"/>
      <c r="M115" s="207"/>
      <c r="O115" s="207"/>
      <c r="V115" s="409"/>
      <c r="X115" s="410"/>
      <c r="Y115" s="410"/>
      <c r="Z115" s="410"/>
      <c r="AA115" s="410"/>
      <c r="AB115" s="410"/>
      <c r="AC115" s="410"/>
      <c r="AE115" s="411"/>
      <c r="AF115" s="410"/>
      <c r="AG115" s="410"/>
      <c r="AH115" s="410"/>
      <c r="AI115" s="410"/>
      <c r="AJ115" s="410"/>
      <c r="AK115" s="410"/>
      <c r="AM115" s="411"/>
    </row>
    <row r="116" spans="2:10" ht="11.25">
      <c r="B116" s="343"/>
      <c r="C116" s="343"/>
      <c r="D116" s="343"/>
      <c r="E116" s="343"/>
      <c r="F116" s="343"/>
      <c r="G116" s="343"/>
      <c r="H116" s="343"/>
      <c r="I116" s="343"/>
      <c r="J116" s="343"/>
    </row>
    <row r="127" spans="2:39" s="354" customFormat="1" ht="11.25">
      <c r="B127" s="220"/>
      <c r="C127" s="207"/>
      <c r="D127" s="207"/>
      <c r="E127" s="207"/>
      <c r="F127" s="207"/>
      <c r="G127" s="207"/>
      <c r="H127" s="207"/>
      <c r="I127" s="207"/>
      <c r="J127" s="207"/>
      <c r="M127" s="207"/>
      <c r="O127" s="207"/>
      <c r="V127" s="412"/>
      <c r="X127" s="413"/>
      <c r="Y127" s="413"/>
      <c r="Z127" s="413"/>
      <c r="AA127" s="413"/>
      <c r="AB127" s="413"/>
      <c r="AC127" s="413"/>
      <c r="AE127" s="414"/>
      <c r="AF127" s="413"/>
      <c r="AG127" s="413"/>
      <c r="AH127" s="413"/>
      <c r="AI127" s="413"/>
      <c r="AJ127" s="413"/>
      <c r="AK127" s="413"/>
      <c r="AM127" s="414"/>
    </row>
    <row r="128" spans="2:10" ht="11.25">
      <c r="B128" s="354"/>
      <c r="C128" s="354"/>
      <c r="D128" s="354"/>
      <c r="E128" s="354"/>
      <c r="F128" s="354"/>
      <c r="G128" s="354"/>
      <c r="H128" s="354"/>
      <c r="I128" s="354"/>
      <c r="J128" s="354"/>
    </row>
    <row r="145" ht="16.5" customHeight="1"/>
  </sheetData>
  <sheetProtection/>
  <mergeCells count="9">
    <mergeCell ref="BS7:BY7"/>
    <mergeCell ref="CA7:CG7"/>
    <mergeCell ref="CI7:CO7"/>
    <mergeCell ref="P5:S5"/>
    <mergeCell ref="AE7:AK7"/>
    <mergeCell ref="AM7:AS7"/>
    <mergeCell ref="AU7:BA7"/>
    <mergeCell ref="BC7:BI7"/>
    <mergeCell ref="BK7:BQ7"/>
  </mergeCells>
  <printOptions horizontalCentered="1"/>
  <pageMargins left="0.2362204724409449" right="0.2755905511811024" top="0.2362204724409449" bottom="0.31496062992125984" header="0.2362204724409449" footer="0.1968503937007874"/>
  <pageSetup horizontalDpi="300" verticalDpi="300" orientation="landscape" paperSize="9" scale="50" r:id="rId2"/>
  <drawing r:id="rId1"/>
</worksheet>
</file>

<file path=xl/worksheets/sheet2.xml><?xml version="1.0" encoding="utf-8"?>
<worksheet xmlns="http://schemas.openxmlformats.org/spreadsheetml/2006/main" xmlns:r="http://schemas.openxmlformats.org/officeDocument/2006/relationships">
  <sheetPr codeName="Sheet21"/>
  <dimension ref="A1:X52"/>
  <sheetViews>
    <sheetView showGridLines="0" zoomScale="130" zoomScaleNormal="130" zoomScalePageLayoutView="0" workbookViewId="0" topLeftCell="A1">
      <selection activeCell="C17" sqref="C17"/>
    </sheetView>
  </sheetViews>
  <sheetFormatPr defaultColWidth="9.140625" defaultRowHeight="12.75" outlineLevelRow="1"/>
  <cols>
    <col min="1" max="1" width="28.00390625" style="0" customWidth="1"/>
    <col min="3" max="3" width="9.28125" style="0" bestFit="1" customWidth="1"/>
    <col min="5" max="5" width="11.7109375" style="0" bestFit="1" customWidth="1"/>
    <col min="6" max="6" width="10.00390625" style="0" bestFit="1" customWidth="1"/>
  </cols>
  <sheetData>
    <row r="1" spans="1:4" ht="15">
      <c r="A1" s="133" t="str">
        <f>Assumptions!A1</f>
        <v>AURANGABAD WATER SUPPLY PROJECT</v>
      </c>
      <c r="B1" s="134"/>
      <c r="C1" s="134"/>
      <c r="D1" s="134"/>
    </row>
    <row r="2" ht="12.75">
      <c r="E2" s="67"/>
    </row>
    <row r="3" spans="1:24" ht="12.75">
      <c r="A3" s="3" t="s">
        <v>26</v>
      </c>
      <c r="B3" s="3"/>
      <c r="C3" s="1"/>
      <c r="D3" s="1"/>
      <c r="E3" s="1"/>
      <c r="F3" s="1"/>
      <c r="G3" s="1"/>
      <c r="H3" s="1"/>
      <c r="I3" s="1"/>
      <c r="J3" s="1"/>
      <c r="K3" s="1"/>
      <c r="L3" s="1"/>
      <c r="M3" s="1"/>
      <c r="N3" s="1"/>
      <c r="O3" s="1"/>
      <c r="P3" s="1"/>
      <c r="Q3" s="1"/>
      <c r="R3" s="1"/>
      <c r="S3" s="1"/>
      <c r="T3" s="1"/>
      <c r="U3" s="1"/>
      <c r="V3" s="1"/>
      <c r="W3" s="1"/>
      <c r="X3" s="1"/>
    </row>
    <row r="4" spans="1:24" s="66" customFormat="1" ht="12.75">
      <c r="A4" s="8" t="str">
        <f>Assumptions!C3</f>
        <v>Rs. in Crores</v>
      </c>
      <c r="B4" s="19"/>
      <c r="C4" s="2"/>
      <c r="D4" s="447" t="s">
        <v>426</v>
      </c>
      <c r="E4" s="2"/>
      <c r="F4" s="495">
        <f>Assumptions!E10</f>
        <v>0.027210884353741496</v>
      </c>
      <c r="G4" s="495">
        <f>Assumptions!F10</f>
        <v>0.027210884353741496</v>
      </c>
      <c r="H4" s="495">
        <f>Assumptions!G10</f>
        <v>0.027210884353741496</v>
      </c>
      <c r="I4" s="495">
        <f>Assumptions!H10</f>
        <v>0.027210884353741496</v>
      </c>
      <c r="J4" s="495">
        <f>Assumptions!I10</f>
        <v>0.027210884353741496</v>
      </c>
      <c r="K4" s="495">
        <f>Assumptions!J10</f>
        <v>0.027210884353741496</v>
      </c>
      <c r="L4" s="495">
        <f>Assumptions!K10</f>
        <v>0.027210884353741496</v>
      </c>
      <c r="M4" s="495">
        <f>Assumptions!L10</f>
        <v>0.027210884353741496</v>
      </c>
      <c r="N4" s="495">
        <f>Assumptions!M10</f>
        <v>0.027210884353741496</v>
      </c>
      <c r="O4" s="495">
        <f>Assumptions!N10</f>
        <v>0.027210884353741496</v>
      </c>
      <c r="P4" s="495">
        <f>Assumptions!O10</f>
        <v>0.027210884353741496</v>
      </c>
      <c r="Q4" s="495">
        <f>Assumptions!P10</f>
        <v>0.027210884353741496</v>
      </c>
      <c r="R4" s="495">
        <f>Assumptions!Q10</f>
        <v>0.027210884353741496</v>
      </c>
      <c r="S4" s="495">
        <f>Assumptions!R10</f>
        <v>0.027210884353741496</v>
      </c>
      <c r="T4" s="495">
        <f>Assumptions!S10</f>
        <v>0.027210884353741496</v>
      </c>
      <c r="U4" s="495">
        <f>Assumptions!T10</f>
        <v>0.027210884353741496</v>
      </c>
      <c r="V4" s="495">
        <f>Assumptions!U10</f>
        <v>0.027210884353741496</v>
      </c>
      <c r="W4" s="495">
        <f>Assumptions!V10</f>
        <v>0.027210884353741496</v>
      </c>
      <c r="X4" s="495">
        <f>Assumptions!W10</f>
        <v>0.027210884353741496</v>
      </c>
    </row>
    <row r="5" spans="1:24" ht="12.75" outlineLevel="1">
      <c r="A5" s="4" t="s">
        <v>0</v>
      </c>
      <c r="B5" s="4"/>
      <c r="C5" s="4"/>
      <c r="D5" s="4"/>
      <c r="E5" s="43">
        <f>Assumptions!E18</f>
        <v>2012</v>
      </c>
      <c r="F5" s="43">
        <f>Assumptions!F18</f>
        <v>2013</v>
      </c>
      <c r="G5" s="43">
        <f>Assumptions!G18</f>
        <v>2014</v>
      </c>
      <c r="H5" s="43">
        <f>Assumptions!H18</f>
        <v>2015</v>
      </c>
      <c r="I5" s="43">
        <f>Assumptions!I18</f>
        <v>2016</v>
      </c>
      <c r="J5" s="43">
        <f>Assumptions!J18</f>
        <v>2017</v>
      </c>
      <c r="K5" s="43">
        <f>Assumptions!K18</f>
        <v>2018</v>
      </c>
      <c r="L5" s="43">
        <f>Assumptions!L18</f>
        <v>2019</v>
      </c>
      <c r="M5" s="43">
        <f>Assumptions!M18</f>
        <v>2020</v>
      </c>
      <c r="N5" s="43">
        <f>Assumptions!N18</f>
        <v>2021</v>
      </c>
      <c r="O5" s="43">
        <f>Assumptions!O18</f>
        <v>2022</v>
      </c>
      <c r="P5" s="43">
        <f>Assumptions!P18</f>
        <v>2023</v>
      </c>
      <c r="Q5" s="43">
        <f>Assumptions!Q18</f>
        <v>2024</v>
      </c>
      <c r="R5" s="43">
        <f>Assumptions!R18</f>
        <v>2025</v>
      </c>
      <c r="S5" s="43">
        <f>Assumptions!S18</f>
        <v>2026</v>
      </c>
      <c r="T5" s="43">
        <f>Assumptions!T18</f>
        <v>2027</v>
      </c>
      <c r="U5" s="43">
        <f>Assumptions!U18</f>
        <v>2028</v>
      </c>
      <c r="V5" s="43">
        <f>Assumptions!V18</f>
        <v>2029</v>
      </c>
      <c r="W5" s="43">
        <f>Assumptions!W18</f>
        <v>2030</v>
      </c>
      <c r="X5" s="43">
        <f>Assumptions!X18</f>
        <v>2031</v>
      </c>
    </row>
    <row r="6" spans="1:24" ht="12.75" outlineLevel="1">
      <c r="A6" s="4" t="s">
        <v>1</v>
      </c>
      <c r="B6" s="4"/>
      <c r="C6" s="4"/>
      <c r="D6" s="4"/>
      <c r="E6" s="43">
        <f>Assumptions!E19</f>
        <v>1</v>
      </c>
      <c r="F6" s="43">
        <f>Assumptions!F19</f>
        <v>2</v>
      </c>
      <c r="G6" s="43">
        <f>Assumptions!G19</f>
        <v>3</v>
      </c>
      <c r="H6" s="43">
        <f>Assumptions!H19</f>
        <v>4</v>
      </c>
      <c r="I6" s="43">
        <f>Assumptions!I19</f>
        <v>5</v>
      </c>
      <c r="J6" s="43">
        <f>Assumptions!J19</f>
        <v>6</v>
      </c>
      <c r="K6" s="43">
        <f>Assumptions!K19</f>
        <v>7</v>
      </c>
      <c r="L6" s="43">
        <f>Assumptions!L19</f>
        <v>8</v>
      </c>
      <c r="M6" s="43">
        <f>Assumptions!M19</f>
        <v>9</v>
      </c>
      <c r="N6" s="43">
        <f>Assumptions!N19</f>
        <v>10</v>
      </c>
      <c r="O6" s="43">
        <f>Assumptions!O19</f>
        <v>11</v>
      </c>
      <c r="P6" s="43">
        <f>Assumptions!P19</f>
        <v>12</v>
      </c>
      <c r="Q6" s="43">
        <f>Assumptions!Q19</f>
        <v>13</v>
      </c>
      <c r="R6" s="43">
        <f>Assumptions!R19</f>
        <v>14</v>
      </c>
      <c r="S6" s="43">
        <f>Assumptions!S19</f>
        <v>15</v>
      </c>
      <c r="T6" s="43">
        <f>Assumptions!T19</f>
        <v>16</v>
      </c>
      <c r="U6" s="43">
        <f>Assumptions!U19</f>
        <v>17</v>
      </c>
      <c r="V6" s="43">
        <f>Assumptions!V19</f>
        <v>18</v>
      </c>
      <c r="W6" s="43">
        <f>Assumptions!W19</f>
        <v>19</v>
      </c>
      <c r="X6" s="43">
        <f>Assumptions!X19</f>
        <v>20</v>
      </c>
    </row>
    <row r="7" spans="1:24" ht="12.75" outlineLevel="1">
      <c r="A7" s="5" t="s">
        <v>162</v>
      </c>
      <c r="B7" s="5"/>
      <c r="C7" s="1"/>
      <c r="D7" s="1"/>
      <c r="E7" s="448">
        <f>Assumptions!C66</f>
        <v>12.25</v>
      </c>
      <c r="F7" s="448">
        <f>E7*(1+F4)</f>
        <v>12.583333333333334</v>
      </c>
      <c r="G7" s="448">
        <f>F7*(1+G4)</f>
        <v>12.925736961451248</v>
      </c>
      <c r="H7" s="448">
        <f>G7*(1+H4)</f>
        <v>13.27745769509618</v>
      </c>
      <c r="I7" s="448">
        <f>H7*(1+I4)</f>
        <v>13.638749060949138</v>
      </c>
      <c r="J7" s="448">
        <f aca="true" t="shared" si="0" ref="J7:X7">I7*(1+J4)</f>
        <v>14.009871484376326</v>
      </c>
      <c r="K7" s="448">
        <f t="shared" si="0"/>
        <v>14.391092477148472</v>
      </c>
      <c r="L7" s="448">
        <f t="shared" si="0"/>
        <v>14.782686830268158</v>
      </c>
      <c r="M7" s="448">
        <f t="shared" si="0"/>
        <v>15.184936812044162</v>
      </c>
      <c r="N7" s="448">
        <f t="shared" si="0"/>
        <v>15.598132371555568</v>
      </c>
      <c r="O7" s="448">
        <f t="shared" si="0"/>
        <v>16.02257134765232</v>
      </c>
      <c r="P7" s="448">
        <f t="shared" si="0"/>
        <v>16.45855968364286</v>
      </c>
      <c r="Q7" s="448">
        <f t="shared" si="0"/>
        <v>16.90641164782362</v>
      </c>
      <c r="R7" s="448">
        <f t="shared" si="0"/>
        <v>17.3664500600093</v>
      </c>
      <c r="S7" s="448">
        <f t="shared" si="0"/>
        <v>17.83900652422724</v>
      </c>
      <c r="T7" s="448">
        <f t="shared" si="0"/>
        <v>18.32442166774363</v>
      </c>
      <c r="U7" s="448">
        <f t="shared" si="0"/>
        <v>18.823045386593797</v>
      </c>
      <c r="V7" s="448">
        <f t="shared" si="0"/>
        <v>19.33523709779363</v>
      </c>
      <c r="W7" s="448">
        <f t="shared" si="0"/>
        <v>19.861365998413866</v>
      </c>
      <c r="X7" s="448">
        <f t="shared" si="0"/>
        <v>20.40181133170404</v>
      </c>
    </row>
    <row r="8" spans="1:24" ht="12.75" outlineLevel="1">
      <c r="A8" s="5" t="s">
        <v>161</v>
      </c>
      <c r="B8" s="5"/>
      <c r="C8" s="1"/>
      <c r="D8" s="1"/>
      <c r="E8" s="453">
        <f>Assumptions!E68</f>
        <v>100000</v>
      </c>
      <c r="F8" s="453">
        <f>Assumptions!F68</f>
        <v>100000</v>
      </c>
      <c r="G8" s="453">
        <f>Assumptions!G68</f>
        <v>100000</v>
      </c>
      <c r="H8" s="173">
        <f>Assumptions!H68</f>
        <v>189677.96707280257</v>
      </c>
      <c r="I8" s="173">
        <f>Assumptions!I68</f>
        <v>194839.2722992734</v>
      </c>
      <c r="J8" s="173">
        <f>Assumptions!J68</f>
        <v>200141.0212053761</v>
      </c>
      <c r="K8" s="173">
        <f>Assumptions!K68</f>
        <v>205587.03538783532</v>
      </c>
      <c r="L8" s="173">
        <f>Assumptions!L68</f>
        <v>211181.24043240226</v>
      </c>
      <c r="M8" s="173">
        <f>Assumptions!M68</f>
        <v>216927.66874348806</v>
      </c>
      <c r="N8" s="173">
        <f>Assumptions!N68</f>
        <v>222830.46245079386</v>
      </c>
      <c r="O8" s="173">
        <f>Assumptions!O68</f>
        <v>228893.87639503315</v>
      </c>
      <c r="P8" s="173">
        <f>Assumptions!P68</f>
        <v>235122.281194898</v>
      </c>
      <c r="Q8" s="173">
        <f>Assumptions!Q68</f>
        <v>241520.1663974803</v>
      </c>
      <c r="R8" s="173">
        <f>Assumptions!R68</f>
        <v>248092.14371441858</v>
      </c>
      <c r="S8" s="173">
        <f>Assumptions!S68</f>
        <v>254842.95034610343</v>
      </c>
      <c r="T8" s="173">
        <f>Assumptions!T68</f>
        <v>261777.45239633755</v>
      </c>
      <c r="U8" s="173">
        <f>Assumptions!U68</f>
        <v>268900.6483799114</v>
      </c>
      <c r="V8" s="173">
        <f>Assumptions!V68</f>
        <v>276217.6728256233</v>
      </c>
      <c r="W8" s="173">
        <f>Assumptions!W68</f>
        <v>283733.7999773409</v>
      </c>
      <c r="X8" s="173">
        <f>Assumptions!X68</f>
        <v>291454.447595772</v>
      </c>
    </row>
    <row r="9" spans="1:24" s="66" customFormat="1" ht="12.75" outlineLevel="1">
      <c r="A9" s="5" t="s">
        <v>460</v>
      </c>
      <c r="B9" s="5"/>
      <c r="C9" s="2"/>
      <c r="D9" s="2"/>
      <c r="E9" s="163">
        <f>Assumptions!E69</f>
        <v>7500</v>
      </c>
      <c r="F9" s="163">
        <f>Assumptions!F69</f>
        <v>25000</v>
      </c>
      <c r="G9" s="163">
        <f>Assumptions!G69</f>
        <v>17500</v>
      </c>
      <c r="H9" s="163"/>
      <c r="I9" s="163"/>
      <c r="J9" s="163"/>
      <c r="K9" s="163"/>
      <c r="L9" s="163"/>
      <c r="M9" s="163"/>
      <c r="N9" s="163"/>
      <c r="O9" s="163"/>
      <c r="P9" s="163"/>
      <c r="Q9" s="163"/>
      <c r="R9" s="163"/>
      <c r="S9" s="163"/>
      <c r="T9" s="163"/>
      <c r="U9" s="163"/>
      <c r="V9" s="163"/>
      <c r="W9" s="163"/>
      <c r="X9" s="163"/>
    </row>
    <row r="10" spans="1:24" s="66" customFormat="1" ht="12.75" outlineLevel="1">
      <c r="A10" s="5"/>
      <c r="B10" s="5"/>
      <c r="C10" s="2"/>
      <c r="D10" s="2"/>
      <c r="E10" s="163"/>
      <c r="F10" s="163"/>
      <c r="G10" s="163"/>
      <c r="H10" s="163"/>
      <c r="I10" s="163"/>
      <c r="J10" s="163"/>
      <c r="K10" s="163"/>
      <c r="L10" s="163"/>
      <c r="M10" s="163"/>
      <c r="N10" s="163"/>
      <c r="O10" s="163"/>
      <c r="P10" s="163"/>
      <c r="Q10" s="163"/>
      <c r="R10" s="163"/>
      <c r="S10" s="163"/>
      <c r="T10" s="163"/>
      <c r="U10" s="163"/>
      <c r="V10" s="163"/>
      <c r="W10" s="163"/>
      <c r="X10" s="163"/>
    </row>
    <row r="11" spans="1:24" ht="12.75" outlineLevel="1">
      <c r="A11" s="5" t="s">
        <v>464</v>
      </c>
      <c r="B11" s="5"/>
      <c r="C11" s="1"/>
      <c r="D11" s="1"/>
      <c r="E11" s="21">
        <f>(Assumptions!E73*E7*10^5)/10^6</f>
        <v>83.3</v>
      </c>
      <c r="F11" s="21">
        <f>(Assumptions!F73*F7*10^5)/10^6</f>
        <v>85.56666666666668</v>
      </c>
      <c r="G11" s="21">
        <f>(Assumptions!G73*G7*10^5)/10^6</f>
        <v>87.89501133786848</v>
      </c>
      <c r="H11" s="21">
        <f>(Assumptions!H73*H7*10^5)/10^6</f>
        <v>94.26994963518287</v>
      </c>
      <c r="I11" s="21">
        <f>(Assumptions!I73*I7*10^5)/10^6</f>
        <v>100.92674305102362</v>
      </c>
      <c r="J11" s="21">
        <f>(Assumptions!J73*J7*10^5)/10^6</f>
        <v>107.8760104296977</v>
      </c>
      <c r="K11" s="21">
        <f>(Assumptions!K73*K7*10^5)/10^6</f>
        <v>115.12873981718779</v>
      </c>
      <c r="L11" s="21">
        <f>(Assumptions!L73*L7*10^5)/10^6</f>
        <v>133.0441814724134</v>
      </c>
      <c r="M11" s="21">
        <f>(Assumptions!M73*M7*10^5)/10^6</f>
        <v>136.66443130839744</v>
      </c>
      <c r="N11" s="21">
        <f>(Assumptions!N73*N7*10^5)/10^6</f>
        <v>140.38319134400012</v>
      </c>
      <c r="O11" s="21">
        <f>(Assumptions!O73*O7*10^5)/10^6</f>
        <v>160.2257134765232</v>
      </c>
      <c r="P11" s="21">
        <f>(Assumptions!P73*P7*10^5)/10^6</f>
        <v>164.5855968364286</v>
      </c>
      <c r="Q11" s="21">
        <f>(Assumptions!Q73*Q7*10^5)/10^6</f>
        <v>169.0641164782362</v>
      </c>
      <c r="R11" s="21">
        <f>(Assumptions!R73*R7*10^5)/10^6</f>
        <v>208.3974007201116</v>
      </c>
      <c r="S11" s="21">
        <f>(Assumptions!S73*S7*10^5)/10^6</f>
        <v>214.0680782907269</v>
      </c>
      <c r="T11" s="21">
        <f>(Assumptions!T73*T7*10^5)/10^6</f>
        <v>219.89306001292354</v>
      </c>
      <c r="U11" s="21">
        <f>(Assumptions!U73*U7*10^5)/10^6</f>
        <v>225.8765446391256</v>
      </c>
      <c r="V11" s="21">
        <f>(Assumptions!V73*V7*10^5)/10^6</f>
        <v>232.02284517352354</v>
      </c>
      <c r="W11" s="21">
        <f>(Assumptions!W73*W7*10^5)/10^6</f>
        <v>238.3363919809664</v>
      </c>
      <c r="X11" s="21">
        <f>(Assumptions!X73*X7*10^5)/10^6</f>
        <v>244.82173598044847</v>
      </c>
    </row>
    <row r="12" spans="1:24" ht="12.75" outlineLevel="1">
      <c r="A12" s="5" t="s">
        <v>208</v>
      </c>
      <c r="B12" s="5"/>
      <c r="C12" s="1"/>
      <c r="D12" s="1"/>
      <c r="E12" s="21">
        <f>E11</f>
        <v>83.3</v>
      </c>
      <c r="F12" s="21">
        <f aca="true" t="shared" si="1" ref="F12:X12">F11</f>
        <v>85.56666666666668</v>
      </c>
      <c r="G12" s="21">
        <f t="shared" si="1"/>
        <v>87.89501133786848</v>
      </c>
      <c r="H12" s="21">
        <f t="shared" si="1"/>
        <v>94.26994963518287</v>
      </c>
      <c r="I12" s="21">
        <f t="shared" si="1"/>
        <v>100.92674305102362</v>
      </c>
      <c r="J12" s="21">
        <f t="shared" si="1"/>
        <v>107.8760104296977</v>
      </c>
      <c r="K12" s="21">
        <f t="shared" si="1"/>
        <v>115.12873981718779</v>
      </c>
      <c r="L12" s="21">
        <f t="shared" si="1"/>
        <v>133.0441814724134</v>
      </c>
      <c r="M12" s="21">
        <f t="shared" si="1"/>
        <v>136.66443130839744</v>
      </c>
      <c r="N12" s="21">
        <f t="shared" si="1"/>
        <v>140.38319134400012</v>
      </c>
      <c r="O12" s="21">
        <f t="shared" si="1"/>
        <v>160.2257134765232</v>
      </c>
      <c r="P12" s="21">
        <f t="shared" si="1"/>
        <v>164.5855968364286</v>
      </c>
      <c r="Q12" s="21">
        <f t="shared" si="1"/>
        <v>169.0641164782362</v>
      </c>
      <c r="R12" s="21">
        <f t="shared" si="1"/>
        <v>208.3974007201116</v>
      </c>
      <c r="S12" s="21">
        <f t="shared" si="1"/>
        <v>214.0680782907269</v>
      </c>
      <c r="T12" s="21">
        <f t="shared" si="1"/>
        <v>219.89306001292354</v>
      </c>
      <c r="U12" s="21">
        <f t="shared" si="1"/>
        <v>225.8765446391256</v>
      </c>
      <c r="V12" s="21">
        <f t="shared" si="1"/>
        <v>232.02284517352354</v>
      </c>
      <c r="W12" s="21">
        <f t="shared" si="1"/>
        <v>238.3363919809664</v>
      </c>
      <c r="X12" s="21">
        <f t="shared" si="1"/>
        <v>244.82173598044847</v>
      </c>
    </row>
    <row r="13" spans="1:24" ht="12.75" outlineLevel="1">
      <c r="A13" s="5" t="s">
        <v>163</v>
      </c>
      <c r="B13" s="5"/>
      <c r="C13" s="449">
        <f>Assumptions!B78</f>
        <v>0.966</v>
      </c>
      <c r="D13" s="175"/>
      <c r="E13" s="448">
        <f>$C$13*E12</f>
        <v>80.4678</v>
      </c>
      <c r="F13" s="448">
        <f aca="true" t="shared" si="2" ref="F13:X13">$C$13*F12</f>
        <v>82.65740000000001</v>
      </c>
      <c r="G13" s="448">
        <f t="shared" si="2"/>
        <v>84.90658095238095</v>
      </c>
      <c r="H13" s="448">
        <f t="shared" si="2"/>
        <v>91.06477134758664</v>
      </c>
      <c r="I13" s="448">
        <f t="shared" si="2"/>
        <v>97.49523378728881</v>
      </c>
      <c r="J13" s="448">
        <f t="shared" si="2"/>
        <v>104.20822607508798</v>
      </c>
      <c r="K13" s="448">
        <f t="shared" si="2"/>
        <v>111.2143626634034</v>
      </c>
      <c r="L13" s="448">
        <f t="shared" si="2"/>
        <v>128.52067930235134</v>
      </c>
      <c r="M13" s="448">
        <f t="shared" si="2"/>
        <v>132.0178406439119</v>
      </c>
      <c r="N13" s="448">
        <f t="shared" si="2"/>
        <v>135.61016283830412</v>
      </c>
      <c r="O13" s="448">
        <f t="shared" si="2"/>
        <v>154.7780392183214</v>
      </c>
      <c r="P13" s="448">
        <f t="shared" si="2"/>
        <v>158.98968654399002</v>
      </c>
      <c r="Q13" s="448">
        <f t="shared" si="2"/>
        <v>163.31593651797616</v>
      </c>
      <c r="R13" s="448">
        <f t="shared" si="2"/>
        <v>201.31188909562778</v>
      </c>
      <c r="S13" s="448">
        <f t="shared" si="2"/>
        <v>206.7897636288422</v>
      </c>
      <c r="T13" s="448">
        <f t="shared" si="2"/>
        <v>212.41669597248412</v>
      </c>
      <c r="U13" s="448">
        <f t="shared" si="2"/>
        <v>218.19674212139532</v>
      </c>
      <c r="V13" s="448">
        <f t="shared" si="2"/>
        <v>224.13406843762374</v>
      </c>
      <c r="W13" s="448">
        <f t="shared" si="2"/>
        <v>230.23295465361352</v>
      </c>
      <c r="X13" s="448">
        <f t="shared" si="2"/>
        <v>236.49779695711322</v>
      </c>
    </row>
    <row r="14" spans="1:24" ht="12.75" outlineLevel="1">
      <c r="A14" s="5" t="s">
        <v>164</v>
      </c>
      <c r="B14" s="5"/>
      <c r="C14" s="449">
        <f>Assumptions!B79</f>
        <v>0.03400000000000003</v>
      </c>
      <c r="D14" s="175"/>
      <c r="E14" s="448">
        <f>$C$14*E12</f>
        <v>2.8322000000000025</v>
      </c>
      <c r="F14" s="448">
        <f aca="true" t="shared" si="3" ref="F14:X14">$C$14*F12</f>
        <v>2.9092666666666696</v>
      </c>
      <c r="G14" s="448">
        <f t="shared" si="3"/>
        <v>2.988430385487531</v>
      </c>
      <c r="H14" s="448">
        <f t="shared" si="3"/>
        <v>3.2051782875962203</v>
      </c>
      <c r="I14" s="448">
        <f t="shared" si="3"/>
        <v>3.431509263734806</v>
      </c>
      <c r="J14" s="448">
        <f t="shared" si="3"/>
        <v>3.6677843546097253</v>
      </c>
      <c r="K14" s="448">
        <f t="shared" si="3"/>
        <v>3.9143771537843883</v>
      </c>
      <c r="L14" s="448">
        <f t="shared" si="3"/>
        <v>4.52350217006206</v>
      </c>
      <c r="M14" s="448">
        <f t="shared" si="3"/>
        <v>4.646590664485517</v>
      </c>
      <c r="N14" s="448">
        <f t="shared" si="3"/>
        <v>4.773028505696009</v>
      </c>
      <c r="O14" s="448">
        <f t="shared" si="3"/>
        <v>5.447674258201793</v>
      </c>
      <c r="P14" s="448">
        <f t="shared" si="3"/>
        <v>5.595910292438577</v>
      </c>
      <c r="Q14" s="448">
        <f t="shared" si="3"/>
        <v>5.748179960260036</v>
      </c>
      <c r="R14" s="448">
        <f t="shared" si="3"/>
        <v>7.0855116244838</v>
      </c>
      <c r="S14" s="448">
        <f t="shared" si="3"/>
        <v>7.278314661884721</v>
      </c>
      <c r="T14" s="448">
        <f t="shared" si="3"/>
        <v>7.476364040439407</v>
      </c>
      <c r="U14" s="448">
        <f t="shared" si="3"/>
        <v>7.679802517730277</v>
      </c>
      <c r="V14" s="448">
        <f t="shared" si="3"/>
        <v>7.888776735899807</v>
      </c>
      <c r="W14" s="448">
        <f t="shared" si="3"/>
        <v>8.103437327352864</v>
      </c>
      <c r="X14" s="448">
        <f t="shared" si="3"/>
        <v>8.323939023335255</v>
      </c>
    </row>
    <row r="15" spans="1:24" ht="12.75" outlineLevel="1">
      <c r="A15" s="5"/>
      <c r="B15" s="5"/>
      <c r="C15" s="1"/>
      <c r="D15" s="68"/>
      <c r="E15" s="21"/>
      <c r="F15" s="21"/>
      <c r="G15" s="21"/>
      <c r="H15" s="21"/>
      <c r="I15" s="21"/>
      <c r="J15" s="21"/>
      <c r="K15" s="21"/>
      <c r="L15" s="21"/>
      <c r="M15" s="21"/>
      <c r="N15" s="21"/>
      <c r="O15" s="21"/>
      <c r="P15" s="21"/>
      <c r="Q15" s="21"/>
      <c r="R15" s="21"/>
      <c r="S15" s="21"/>
      <c r="T15" s="21"/>
      <c r="U15" s="21"/>
      <c r="V15" s="21"/>
      <c r="W15" s="21"/>
      <c r="X15" s="21"/>
    </row>
    <row r="16" spans="1:24" ht="12.75" outlineLevel="1">
      <c r="A16" s="5" t="s">
        <v>425</v>
      </c>
      <c r="B16" s="5"/>
      <c r="C16" s="1"/>
      <c r="D16" s="68"/>
      <c r="E16" s="21"/>
      <c r="F16" s="487"/>
      <c r="G16" s="21"/>
      <c r="H16" s="21"/>
      <c r="I16" s="21"/>
      <c r="J16" s="21"/>
      <c r="K16" s="21"/>
      <c r="L16" s="21"/>
      <c r="M16" s="21"/>
      <c r="N16" s="21"/>
      <c r="O16" s="21"/>
      <c r="P16" s="21"/>
      <c r="Q16" s="21"/>
      <c r="R16" s="21"/>
      <c r="S16" s="21"/>
      <c r="T16" s="21"/>
      <c r="U16" s="21"/>
      <c r="V16" s="21"/>
      <c r="W16" s="21"/>
      <c r="X16" s="21"/>
    </row>
    <row r="17" spans="1:24" ht="12.75" outlineLevel="1">
      <c r="A17" s="156" t="s">
        <v>448</v>
      </c>
      <c r="B17" s="5"/>
      <c r="C17" s="449">
        <f>Assumptions!C59</f>
        <v>0.5</v>
      </c>
      <c r="D17" s="490">
        <f>C17*$C$13*$E$7</f>
        <v>5.9167499999999995</v>
      </c>
      <c r="E17" s="491"/>
      <c r="F17" s="492">
        <f>8000/210</f>
        <v>38.095238095238095</v>
      </c>
      <c r="G17" s="21"/>
      <c r="H17" s="21">
        <f>$C17*H$13</f>
        <v>45.53238567379332</v>
      </c>
      <c r="I17" s="21">
        <f aca="true" t="shared" si="4" ref="I17:X17">$C17*I$13</f>
        <v>48.747616893644405</v>
      </c>
      <c r="J17" s="21">
        <f t="shared" si="4"/>
        <v>52.10411303754399</v>
      </c>
      <c r="K17" s="21">
        <f t="shared" si="4"/>
        <v>55.6071813317017</v>
      </c>
      <c r="L17" s="21">
        <f t="shared" si="4"/>
        <v>64.26033965117567</v>
      </c>
      <c r="M17" s="21">
        <f t="shared" si="4"/>
        <v>66.00892032195596</v>
      </c>
      <c r="N17" s="21">
        <f t="shared" si="4"/>
        <v>67.80508141915206</v>
      </c>
      <c r="O17" s="21">
        <f t="shared" si="4"/>
        <v>77.3890196091607</v>
      </c>
      <c r="P17" s="21">
        <f t="shared" si="4"/>
        <v>79.49484327199501</v>
      </c>
      <c r="Q17" s="21">
        <f t="shared" si="4"/>
        <v>81.65796825898808</v>
      </c>
      <c r="R17" s="21">
        <f t="shared" si="4"/>
        <v>100.65594454781389</v>
      </c>
      <c r="S17" s="21">
        <f t="shared" si="4"/>
        <v>103.3948818144211</v>
      </c>
      <c r="T17" s="21">
        <f t="shared" si="4"/>
        <v>106.20834798624206</v>
      </c>
      <c r="U17" s="21">
        <f t="shared" si="4"/>
        <v>109.09837106069766</v>
      </c>
      <c r="V17" s="21">
        <f t="shared" si="4"/>
        <v>112.06703421881187</v>
      </c>
      <c r="W17" s="21">
        <f t="shared" si="4"/>
        <v>115.11647732680676</v>
      </c>
      <c r="X17" s="21">
        <f t="shared" si="4"/>
        <v>118.24889847855661</v>
      </c>
    </row>
    <row r="18" spans="1:24" ht="12.75" outlineLevel="1">
      <c r="A18" s="156" t="s">
        <v>449</v>
      </c>
      <c r="B18" s="5"/>
      <c r="C18" s="449">
        <f>Assumptions!C60</f>
        <v>0.44</v>
      </c>
      <c r="D18" s="490">
        <f>C18*$C$13*$E$7</f>
        <v>5.20674</v>
      </c>
      <c r="E18" s="491"/>
      <c r="F18" s="490">
        <v>66.66666666666667</v>
      </c>
      <c r="G18" s="21"/>
      <c r="H18" s="21">
        <f aca="true" t="shared" si="5" ref="H18:T18">$C18*H$13</f>
        <v>40.06849939293812</v>
      </c>
      <c r="I18" s="21">
        <f t="shared" si="5"/>
        <v>42.89790286640708</v>
      </c>
      <c r="J18" s="21">
        <f t="shared" si="5"/>
        <v>45.85161947303871</v>
      </c>
      <c r="K18" s="21">
        <f t="shared" si="5"/>
        <v>48.9343195718975</v>
      </c>
      <c r="L18" s="21">
        <f t="shared" si="5"/>
        <v>56.54909889303459</v>
      </c>
      <c r="M18" s="21">
        <f t="shared" si="5"/>
        <v>58.08784988332124</v>
      </c>
      <c r="N18" s="21">
        <f t="shared" si="5"/>
        <v>59.66847164885381</v>
      </c>
      <c r="O18" s="21">
        <f t="shared" si="5"/>
        <v>68.10233725606142</v>
      </c>
      <c r="P18" s="21">
        <f t="shared" si="5"/>
        <v>69.95546207935561</v>
      </c>
      <c r="Q18" s="21">
        <f t="shared" si="5"/>
        <v>71.8590120679095</v>
      </c>
      <c r="R18" s="21">
        <f t="shared" si="5"/>
        <v>88.57723120207622</v>
      </c>
      <c r="S18" s="21">
        <f t="shared" si="5"/>
        <v>90.98749599669057</v>
      </c>
      <c r="T18" s="21">
        <f t="shared" si="5"/>
        <v>93.46334622789301</v>
      </c>
      <c r="U18" s="21">
        <f aca="true" t="shared" si="6" ref="U18:X20">$C18*U$13</f>
        <v>96.00656653341395</v>
      </c>
      <c r="V18" s="21">
        <f t="shared" si="6"/>
        <v>98.61899011255444</v>
      </c>
      <c r="W18" s="21">
        <f t="shared" si="6"/>
        <v>101.30250004758994</v>
      </c>
      <c r="X18" s="21">
        <f t="shared" si="6"/>
        <v>104.05903066112982</v>
      </c>
    </row>
    <row r="19" spans="1:24" ht="12.75" outlineLevel="1">
      <c r="A19" s="156" t="s">
        <v>450</v>
      </c>
      <c r="B19" s="5"/>
      <c r="C19" s="449">
        <f>Assumptions!C61</f>
        <v>0.04</v>
      </c>
      <c r="D19" s="490">
        <f>C19*$C$13*$E$7</f>
        <v>0.47334</v>
      </c>
      <c r="E19" s="491"/>
      <c r="F19" s="490">
        <v>95.23809523809524</v>
      </c>
      <c r="G19" s="21"/>
      <c r="H19" s="21">
        <f aca="true" t="shared" si="7" ref="H19:T20">$C19*H$13</f>
        <v>3.642590853903466</v>
      </c>
      <c r="I19" s="21">
        <f t="shared" si="7"/>
        <v>3.8998093514915526</v>
      </c>
      <c r="J19" s="21">
        <f t="shared" si="7"/>
        <v>4.168329043003519</v>
      </c>
      <c r="K19" s="21">
        <f t="shared" si="7"/>
        <v>4.448574506536136</v>
      </c>
      <c r="L19" s="21">
        <f t="shared" si="7"/>
        <v>5.1408271720940535</v>
      </c>
      <c r="M19" s="21">
        <f t="shared" si="7"/>
        <v>5.280713625756476</v>
      </c>
      <c r="N19" s="21">
        <f t="shared" si="7"/>
        <v>5.424406513532165</v>
      </c>
      <c r="O19" s="21">
        <f t="shared" si="7"/>
        <v>6.191121568732856</v>
      </c>
      <c r="P19" s="21">
        <f t="shared" si="7"/>
        <v>6.359587461759601</v>
      </c>
      <c r="Q19" s="21">
        <f t="shared" si="7"/>
        <v>6.532637460719046</v>
      </c>
      <c r="R19" s="21">
        <f t="shared" si="7"/>
        <v>8.05247556382511</v>
      </c>
      <c r="S19" s="21">
        <f t="shared" si="7"/>
        <v>8.271590545153687</v>
      </c>
      <c r="T19" s="21">
        <f t="shared" si="7"/>
        <v>8.496667838899365</v>
      </c>
      <c r="U19" s="21">
        <f t="shared" si="6"/>
        <v>8.727869684855813</v>
      </c>
      <c r="V19" s="21">
        <f t="shared" si="6"/>
        <v>8.96536273750495</v>
      </c>
      <c r="W19" s="21">
        <f t="shared" si="6"/>
        <v>9.209318186144541</v>
      </c>
      <c r="X19" s="21">
        <f t="shared" si="6"/>
        <v>9.45991187828453</v>
      </c>
    </row>
    <row r="20" spans="1:24" ht="12.75" outlineLevel="1">
      <c r="A20" s="156" t="s">
        <v>451</v>
      </c>
      <c r="B20" s="5"/>
      <c r="C20" s="449">
        <f>Assumptions!C62</f>
        <v>0.02</v>
      </c>
      <c r="D20" s="490">
        <f>C20*$C$13*$E$7</f>
        <v>0.23667</v>
      </c>
      <c r="E20" s="491"/>
      <c r="F20" s="490">
        <f>23000/210</f>
        <v>109.52380952380952</v>
      </c>
      <c r="G20" s="21"/>
      <c r="H20" s="21">
        <f t="shared" si="7"/>
        <v>1.821295426951733</v>
      </c>
      <c r="I20" s="21">
        <f t="shared" si="7"/>
        <v>1.9499046757457763</v>
      </c>
      <c r="J20" s="21">
        <f t="shared" si="7"/>
        <v>2.0841645215017595</v>
      </c>
      <c r="K20" s="21">
        <f t="shared" si="7"/>
        <v>2.224287253268068</v>
      </c>
      <c r="L20" s="21">
        <f t="shared" si="7"/>
        <v>2.5704135860470267</v>
      </c>
      <c r="M20" s="21">
        <f t="shared" si="7"/>
        <v>2.640356812878238</v>
      </c>
      <c r="N20" s="21">
        <f t="shared" si="7"/>
        <v>2.7122032567660823</v>
      </c>
      <c r="O20" s="21">
        <f t="shared" si="7"/>
        <v>3.095560784366428</v>
      </c>
      <c r="P20" s="21">
        <f t="shared" si="7"/>
        <v>3.1797937308798003</v>
      </c>
      <c r="Q20" s="21">
        <f t="shared" si="7"/>
        <v>3.266318730359523</v>
      </c>
      <c r="R20" s="21">
        <f t="shared" si="7"/>
        <v>4.026237781912555</v>
      </c>
      <c r="S20" s="21">
        <f t="shared" si="7"/>
        <v>4.135795272576844</v>
      </c>
      <c r="T20" s="21">
        <f t="shared" si="7"/>
        <v>4.248333919449682</v>
      </c>
      <c r="U20" s="21">
        <f t="shared" si="6"/>
        <v>4.3639348424279065</v>
      </c>
      <c r="V20" s="21">
        <f t="shared" si="6"/>
        <v>4.482681368752475</v>
      </c>
      <c r="W20" s="21">
        <f t="shared" si="6"/>
        <v>4.604659093072271</v>
      </c>
      <c r="X20" s="21">
        <f t="shared" si="6"/>
        <v>4.729955939142265</v>
      </c>
    </row>
    <row r="21" spans="1:24" ht="12.75" outlineLevel="1">
      <c r="A21" s="5"/>
      <c r="B21" s="5"/>
      <c r="C21" s="1"/>
      <c r="D21" s="493"/>
      <c r="E21" s="490">
        <f>((F17*D17)+(F18*D18)+(F19*D19)+(F20*D20))/(D17+D18+D19+D20)</f>
        <v>54.380952380952394</v>
      </c>
      <c r="F21" s="490"/>
      <c r="G21" s="21"/>
      <c r="H21" s="21"/>
      <c r="I21" s="21"/>
      <c r="J21" s="21"/>
      <c r="K21" s="21"/>
      <c r="L21" s="21"/>
      <c r="M21" s="21"/>
      <c r="N21" s="21"/>
      <c r="O21" s="21"/>
      <c r="P21" s="21"/>
      <c r="Q21" s="21"/>
      <c r="R21" s="21"/>
      <c r="S21" s="21"/>
      <c r="T21" s="21"/>
      <c r="U21" s="21"/>
      <c r="V21" s="21"/>
      <c r="W21" s="21"/>
      <c r="X21" s="21"/>
    </row>
    <row r="22" spans="1:24" ht="12.75" outlineLevel="1">
      <c r="A22" s="5" t="s">
        <v>173</v>
      </c>
      <c r="B22" s="5"/>
      <c r="C22" s="1"/>
      <c r="D22" s="490">
        <f>(E21*(E7*10^5))/10^6</f>
        <v>66.61666666666667</v>
      </c>
      <c r="E22" s="490"/>
      <c r="F22" s="490"/>
      <c r="G22" s="21"/>
      <c r="H22" s="21"/>
      <c r="I22" s="21"/>
      <c r="J22" s="21"/>
      <c r="K22" s="21"/>
      <c r="L22" s="21"/>
      <c r="M22" s="21"/>
      <c r="N22" s="21"/>
      <c r="O22" s="21"/>
      <c r="P22" s="21"/>
      <c r="Q22" s="21"/>
      <c r="R22" s="21"/>
      <c r="S22" s="21"/>
      <c r="T22" s="21"/>
      <c r="U22" s="21"/>
      <c r="V22" s="21"/>
      <c r="W22" s="21"/>
      <c r="X22" s="21"/>
    </row>
    <row r="23" spans="1:24" ht="12.75" outlineLevel="1">
      <c r="A23" s="156" t="s">
        <v>190</v>
      </c>
      <c r="B23" s="5"/>
      <c r="C23" s="1"/>
      <c r="D23" s="68"/>
      <c r="E23" s="448">
        <f>(E8*$C$13*Assumptions!$E$36)/10^7</f>
        <v>17.388</v>
      </c>
      <c r="F23" s="448">
        <f>(F8*$C$13*Assumptions!$E$36)/10^7</f>
        <v>17.388</v>
      </c>
      <c r="G23" s="448">
        <f>(G8*$C$13*Assumptions!$E$36)/10^7</f>
        <v>17.388</v>
      </c>
      <c r="H23" s="21"/>
      <c r="I23" s="21"/>
      <c r="J23" s="21"/>
      <c r="K23" s="21"/>
      <c r="L23" s="21"/>
      <c r="M23" s="21"/>
      <c r="N23" s="21"/>
      <c r="O23" s="21"/>
      <c r="P23" s="21"/>
      <c r="Q23" s="21"/>
      <c r="R23" s="21"/>
      <c r="S23" s="21"/>
      <c r="T23" s="21"/>
      <c r="U23" s="21"/>
      <c r="V23" s="21"/>
      <c r="W23" s="21"/>
      <c r="X23" s="21"/>
    </row>
    <row r="24" spans="1:24" ht="12.75" outlineLevel="1">
      <c r="A24" s="156" t="s">
        <v>167</v>
      </c>
      <c r="B24" s="5"/>
      <c r="C24" s="1"/>
      <c r="D24" s="68"/>
      <c r="E24" s="448"/>
      <c r="F24" s="448"/>
      <c r="G24" s="448"/>
      <c r="H24" s="21">
        <f>(H17*1000*Assumptions!H59*Assumptions!$D$4)/Assumptions!$D$3</f>
        <v>14.957388693841105</v>
      </c>
      <c r="I24" s="21">
        <f>(I17*1000*Assumptions!I59*Assumptions!$D$4)/Assumptions!$D$3</f>
        <v>16.013592149562186</v>
      </c>
      <c r="J24" s="21">
        <f>(J17*1000*Assumptions!J59*Assumptions!$D$4)/Assumptions!$D$3</f>
        <v>17.1162011328332</v>
      </c>
      <c r="K24" s="21">
        <f>(K17*1000*Assumptions!K59*Assumptions!$D$4)/Assumptions!$D$3</f>
        <v>22.326283304678235</v>
      </c>
      <c r="L24" s="21">
        <f>(L17*1000*Assumptions!L59*Assumptions!$D$4)/Assumptions!$D$3</f>
        <v>25.800526369947033</v>
      </c>
      <c r="M24" s="21">
        <f>(M17*1000*Assumptions!M59*Assumptions!$D$4)/Assumptions!$D$3</f>
        <v>26.50258150926532</v>
      </c>
      <c r="N24" s="21">
        <f>(N17*1000*Assumptions!N59*Assumptions!$D$4)/Assumptions!$D$3</f>
        <v>34.648396605186704</v>
      </c>
      <c r="O24" s="21">
        <f>(O17*1000*Assumptions!O59*Assumptions!$D$4)/Assumptions!$D$3</f>
        <v>39.54578902028111</v>
      </c>
      <c r="P24" s="21">
        <f>(P17*1000*Assumptions!P59*Assumptions!$D$4)/Assumptions!$D$3</f>
        <v>40.62186491198945</v>
      </c>
      <c r="Q24" s="21">
        <f>(Q17*1000*Assumptions!Q59*Assumptions!$D$4)/Assumptions!$D$3</f>
        <v>50.66876930470211</v>
      </c>
      <c r="R24" s="21">
        <f>(R17*1000*Assumptions!R59*Assumptions!$D$4)/Assumptions!$D$3</f>
        <v>62.45701359191852</v>
      </c>
      <c r="S24" s="21">
        <f>(S17*1000*Assumptions!S59*Assumptions!$D$4)/Assumptions!$D$3</f>
        <v>64.1565241658483</v>
      </c>
      <c r="T24" s="21">
        <f>(T17*1000*Assumptions!T59*Assumptions!$D$4)/Assumptions!$D$3</f>
        <v>81.40869873145455</v>
      </c>
      <c r="U24" s="21">
        <f>(U17*1000*Assumptions!U59*Assumptions!$D$4)/Assumptions!$D$3</f>
        <v>83.62390141802476</v>
      </c>
      <c r="V24" s="21">
        <f>(V17*1000*Assumptions!V59*Assumptions!$D$4)/Assumptions!$D$3</f>
        <v>85.8993817287193</v>
      </c>
      <c r="W24" s="21">
        <f>(W17*1000*Assumptions!W59*Assumptions!$D$4)/Assumptions!$D$3</f>
        <v>109.24553698313962</v>
      </c>
      <c r="X24" s="21">
        <f>(X17*1000*Assumptions!X59*Assumptions!$D$4)/Assumptions!$D$3</f>
        <v>112.21820465615022</v>
      </c>
    </row>
    <row r="25" spans="1:24" ht="12.75" outlineLevel="1">
      <c r="A25" s="156" t="s">
        <v>168</v>
      </c>
      <c r="B25" s="5"/>
      <c r="C25" s="1"/>
      <c r="D25" s="68"/>
      <c r="E25" s="448"/>
      <c r="F25" s="448"/>
      <c r="G25" s="448"/>
      <c r="H25" s="21">
        <f>(H18*1000*Assumptions!H60*Assumptions!$D$4)/Assumptions!$D$3</f>
        <v>21.93750341763362</v>
      </c>
      <c r="I25" s="21">
        <f>(I18*1000*Assumptions!I60*Assumptions!$D$4)/Assumptions!$D$3</f>
        <v>23.486601819357876</v>
      </c>
      <c r="J25" s="21">
        <f>(J18*1000*Assumptions!J60*Assumptions!$D$4)/Assumptions!$D$3</f>
        <v>25.10376166148869</v>
      </c>
      <c r="K25" s="21">
        <f>(K18*1000*Assumptions!K60*Assumptions!$D$4)/Assumptions!$D$3</f>
        <v>32.14984795873666</v>
      </c>
      <c r="L25" s="21">
        <f>(L18*1000*Assumptions!L60*Assumptions!$D$4)/Assumptions!$D$3</f>
        <v>37.15275797272373</v>
      </c>
      <c r="M25" s="21">
        <f>(M18*1000*Assumptions!M60*Assumptions!$D$4)/Assumptions!$D$3</f>
        <v>38.16371737334206</v>
      </c>
      <c r="N25" s="21">
        <f>(N18*1000*Assumptions!N60*Assumptions!$D$4)/Assumptions!$D$3</f>
        <v>47.91378273402961</v>
      </c>
      <c r="O25" s="21">
        <f>(O18*1000*Assumptions!O60*Assumptions!$D$4)/Assumptions!$D$3</f>
        <v>54.68617681661732</v>
      </c>
      <c r="P25" s="21">
        <f>(P18*1000*Assumptions!P60*Assumptions!$D$4)/Assumptions!$D$3</f>
        <v>56.17423604972255</v>
      </c>
      <c r="Q25" s="21">
        <f>(Q18*1000*Assumptions!Q60*Assumptions!$D$4)/Assumptions!$D$3</f>
        <v>70.81705639292481</v>
      </c>
      <c r="R25" s="21">
        <f>(R18*1000*Assumptions!R60*Assumptions!$D$4)/Assumptions!$D$3</f>
        <v>87.29286134964612</v>
      </c>
      <c r="S25" s="21">
        <f>(S18*1000*Assumptions!S60*Assumptions!$D$4)/Assumptions!$D$3</f>
        <v>89.66817730473856</v>
      </c>
      <c r="T25" s="21">
        <f>(T18*1000*Assumptions!T60*Assumptions!$D$4)/Assumptions!$D$3</f>
        <v>112.57660053149715</v>
      </c>
      <c r="U25" s="21">
        <f>(U18*1000*Assumptions!U60*Assumptions!$D$4)/Assumptions!$D$3</f>
        <v>115.63990938949709</v>
      </c>
      <c r="V25" s="21">
        <f>(V18*1000*Assumptions!V60*Assumptions!$D$4)/Assumptions!$D$3</f>
        <v>118.7865735905718</v>
      </c>
      <c r="W25" s="21">
        <f>(W18*1000*Assumptions!W60*Assumptions!$D$4)/Assumptions!$D$3</f>
        <v>147.90165006948132</v>
      </c>
      <c r="X25" s="21">
        <f>(X18*1000*Assumptions!X60*Assumptions!$D$4)/Assumptions!$D$3</f>
        <v>151.92618476524956</v>
      </c>
    </row>
    <row r="26" spans="1:24" ht="12.75" outlineLevel="1">
      <c r="A26" s="156" t="s">
        <v>169</v>
      </c>
      <c r="B26" s="5"/>
      <c r="C26" s="1"/>
      <c r="D26" s="68"/>
      <c r="E26" s="448"/>
      <c r="F26" s="448"/>
      <c r="G26" s="448"/>
      <c r="H26" s="21">
        <f>(H19*1000*Assumptions!H61*Assumptions!$D$4)/Assumptions!$D$3</f>
        <v>3.05795502185196</v>
      </c>
      <c r="I26" s="21">
        <f>(I19*1000*Assumptions!I61*Assumptions!$D$4)/Assumptions!$D$3</f>
        <v>3.2738899505771584</v>
      </c>
      <c r="J26" s="21">
        <f>(J19*1000*Assumptions!J61*Assumptions!$D$4)/Assumptions!$D$3</f>
        <v>3.4993122316014538</v>
      </c>
      <c r="K26" s="21">
        <f>(K19*1000*Assumptions!K61*Assumptions!$D$4)/Assumptions!$D$3</f>
        <v>4.546443145679931</v>
      </c>
      <c r="L26" s="21">
        <f>(L19*1000*Assumptions!L61*Assumptions!$D$4)/Assumptions!$D$3</f>
        <v>5.253925369880123</v>
      </c>
      <c r="M26" s="21">
        <f>(M19*1000*Assumptions!M61*Assumptions!$D$4)/Assumptions!$D$3</f>
        <v>5.3968893255231185</v>
      </c>
      <c r="N26" s="21">
        <f>(N19*1000*Assumptions!N61*Assumptions!$D$4)/Assumptions!$D$3</f>
        <v>6.731688483293415</v>
      </c>
      <c r="O26" s="21">
        <f>(O19*1000*Assumptions!O61*Assumptions!$D$4)/Assumptions!$D$3</f>
        <v>7.683181866797474</v>
      </c>
      <c r="P26" s="21">
        <f>(P19*1000*Assumptions!P61*Assumptions!$D$4)/Assumptions!$D$3</f>
        <v>7.892248040043664</v>
      </c>
      <c r="Q26" s="21">
        <f>(Q19*1000*Assumptions!Q61*Assumptions!$D$4)/Assumptions!$D$3</f>
        <v>9.77609195996605</v>
      </c>
      <c r="R26" s="21">
        <f>(R19*1000*Assumptions!R61*Assumptions!$D$4)/Assumptions!$D$3</f>
        <v>12.050529681264278</v>
      </c>
      <c r="S26" s="21">
        <f>(S19*1000*Assumptions!S61*Assumptions!$D$4)/Assumptions!$D$3</f>
        <v>12.378435250822491</v>
      </c>
      <c r="T26" s="21">
        <f>(T19*1000*Assumptions!T61*Assumptions!$D$4)/Assumptions!$D$3</f>
        <v>15.50641880599134</v>
      </c>
      <c r="U26" s="21">
        <f>(U19*1000*Assumptions!U61*Assumptions!$D$4)/Assumptions!$D$3</f>
        <v>15.92836217486186</v>
      </c>
      <c r="V26" s="21">
        <f>(V19*1000*Assumptions!V61*Assumptions!$D$4)/Assumptions!$D$3</f>
        <v>16.361786995946535</v>
      </c>
      <c r="W26" s="21">
        <f>(W19*1000*Assumptions!W61*Assumptions!$D$4)/Assumptions!$D$3</f>
        <v>20.168406827656543</v>
      </c>
      <c r="X26" s="21">
        <f>(X19*1000*Assumptions!X61*Assumptions!$D$4)/Assumptions!$D$3</f>
        <v>20.71720701344312</v>
      </c>
    </row>
    <row r="27" spans="1:24" ht="12.75" outlineLevel="1">
      <c r="A27" s="156" t="s">
        <v>170</v>
      </c>
      <c r="B27" s="5"/>
      <c r="C27" s="1"/>
      <c r="D27" s="68"/>
      <c r="E27" s="448"/>
      <c r="F27" s="448"/>
      <c r="G27" s="448"/>
      <c r="H27" s="21">
        <f>(H20*1000*Assumptions!H62*Assumptions!$D$4)/Assumptions!$D$3</f>
        <v>1.9943184925121475</v>
      </c>
      <c r="I27" s="21">
        <f>(I20*1000*Assumptions!I62*Assumptions!$D$4)/Assumptions!$D$3</f>
        <v>2.135145619941625</v>
      </c>
      <c r="J27" s="21">
        <f>(J20*1000*Assumptions!J62*Assumptions!$D$4)/Assumptions!$D$3</f>
        <v>2.2821601510444265</v>
      </c>
      <c r="K27" s="21">
        <f>(K20*1000*Assumptions!K62*Assumptions!$D$4)/Assumptions!$D$3</f>
        <v>2.9227134507942414</v>
      </c>
      <c r="L27" s="21">
        <f>(L20*1000*Assumptions!L62*Assumptions!$D$4)/Assumptions!$D$3</f>
        <v>3.3775234520657933</v>
      </c>
      <c r="M27" s="21">
        <f>(M20*1000*Assumptions!M62*Assumptions!$D$4)/Assumptions!$D$3</f>
        <v>3.469428852122005</v>
      </c>
      <c r="N27" s="21">
        <f>(N20*1000*Assumptions!N62*Assumptions!$D$4)/Assumptions!$D$3</f>
        <v>4.355798430366328</v>
      </c>
      <c r="O27" s="21">
        <f>(O20*1000*Assumptions!O62*Assumptions!$D$4)/Assumptions!$D$3</f>
        <v>4.971470619692483</v>
      </c>
      <c r="P27" s="21">
        <f>(P20*1000*Assumptions!P62*Assumptions!$D$4)/Assumptions!$D$3</f>
        <v>5.106748731792959</v>
      </c>
      <c r="Q27" s="21">
        <f>(Q20*1000*Assumptions!Q62*Assumptions!$D$4)/Assumptions!$D$3</f>
        <v>6.318693583880497</v>
      </c>
      <c r="R27" s="21">
        <f>(R20*1000*Assumptions!R62*Assumptions!$D$4)/Assumptions!$D$3</f>
        <v>7.788756989109838</v>
      </c>
      <c r="S27" s="21">
        <f>(S20*1000*Assumptions!S62*Assumptions!$D$4)/Assumptions!$D$3</f>
        <v>8.000695954799903</v>
      </c>
      <c r="T27" s="21">
        <f>(T20*1000*Assumptions!T62*Assumptions!$D$4)/Assumptions!$D$3</f>
        <v>9.924108035834458</v>
      </c>
      <c r="U27" s="21">
        <f>(U20*1000*Assumptions!U62*Assumptions!$D$4)/Assumptions!$D$3</f>
        <v>10.19415179191159</v>
      </c>
      <c r="V27" s="21">
        <f>(V20*1000*Assumptions!V62*Assumptions!$D$4)/Assumptions!$D$3</f>
        <v>10.471543677405782</v>
      </c>
      <c r="W27" s="21">
        <f>(W20*1000*Assumptions!W62*Assumptions!$D$4)/Assumptions!$D$3</f>
        <v>12.941394381079615</v>
      </c>
      <c r="X27" s="21">
        <f>(X20*1000*Assumptions!X62*Assumptions!$D$4)/Assumptions!$D$3</f>
        <v>13.293541166959335</v>
      </c>
    </row>
    <row r="28" spans="1:24" ht="12.75" outlineLevel="1">
      <c r="A28" s="5" t="s">
        <v>191</v>
      </c>
      <c r="B28" s="5"/>
      <c r="C28" s="1"/>
      <c r="D28" s="68"/>
      <c r="E28" s="448"/>
      <c r="F28" s="448"/>
      <c r="G28" s="448"/>
      <c r="H28" s="21"/>
      <c r="I28" s="21"/>
      <c r="J28" s="21"/>
      <c r="K28" s="21"/>
      <c r="L28" s="21"/>
      <c r="M28" s="21"/>
      <c r="N28" s="21"/>
      <c r="O28" s="21"/>
      <c r="P28" s="21"/>
      <c r="Q28" s="21"/>
      <c r="R28" s="21"/>
      <c r="S28" s="21"/>
      <c r="T28" s="21"/>
      <c r="U28" s="21"/>
      <c r="V28" s="21"/>
      <c r="W28" s="21"/>
      <c r="X28" s="21"/>
    </row>
    <row r="29" spans="1:24" ht="12.75" outlineLevel="1">
      <c r="A29" s="156" t="s">
        <v>190</v>
      </c>
      <c r="B29" s="5"/>
      <c r="C29" s="1"/>
      <c r="D29" s="68"/>
      <c r="E29" s="448">
        <f>(E8*$C$14*Assumptions!$E$36)/10^7</f>
        <v>0.6120000000000005</v>
      </c>
      <c r="F29" s="448">
        <f>(F8*$C$14*Assumptions!$E$36)/10^7</f>
        <v>0.6120000000000005</v>
      </c>
      <c r="G29" s="448">
        <f>(G8*$C$14*Assumptions!$E$36)/10^7</f>
        <v>0.6120000000000005</v>
      </c>
      <c r="H29" s="21"/>
      <c r="I29" s="21"/>
      <c r="J29" s="21"/>
      <c r="K29" s="21"/>
      <c r="L29" s="21"/>
      <c r="M29" s="21"/>
      <c r="N29" s="21"/>
      <c r="O29" s="21"/>
      <c r="P29" s="21"/>
      <c r="Q29" s="21"/>
      <c r="R29" s="21"/>
      <c r="S29" s="21"/>
      <c r="T29" s="21"/>
      <c r="U29" s="21"/>
      <c r="V29" s="21"/>
      <c r="W29" s="21"/>
      <c r="X29" s="21"/>
    </row>
    <row r="30" spans="1:24" ht="12.75" outlineLevel="1">
      <c r="A30" s="156" t="s">
        <v>174</v>
      </c>
      <c r="B30" s="5"/>
      <c r="C30" s="1"/>
      <c r="D30" s="68"/>
      <c r="E30" s="21"/>
      <c r="F30" s="21"/>
      <c r="G30" s="21"/>
      <c r="H30" s="21">
        <f>(H14*1000*Assumptions!$D$4*Assumptions!H64)/Assumptions!$D$3</f>
        <v>5.1475163298795295</v>
      </c>
      <c r="I30" s="21">
        <f>(I14*1000*Assumptions!$D$4*Assumptions!I64)/Assumptions!$D$3</f>
        <v>5.511003877558098</v>
      </c>
      <c r="J30" s="21">
        <f>(J14*1000*Assumptions!$D$4*Assumptions!J64)/Assumptions!$D$3</f>
        <v>5.890461673503219</v>
      </c>
      <c r="K30" s="21">
        <f>(K14*1000*Assumptions!$D$4*Assumptions!K64)/Assumptions!$D$3</f>
        <v>7.572362603995899</v>
      </c>
      <c r="L30" s="21">
        <f>(L14*1000*Assumptions!$D$4*Assumptions!L64)/Assumptions!$D$3</f>
        <v>8.750714947985054</v>
      </c>
      <c r="M30" s="21">
        <f>(M14*1000*Assumptions!$D$4*Assumptions!M64)/Assumptions!$D$3</f>
        <v>8.988829640447232</v>
      </c>
      <c r="N30" s="21">
        <f>(N14*1000*Assumptions!$D$4*Assumptions!N64)/Assumptions!$D$3</f>
        <v>11.149794589305875</v>
      </c>
      <c r="O30" s="21">
        <f>(O14*1000*Assumptions!$D$4*Assumptions!O64)/Assumptions!$D$3</f>
        <v>12.725767067159389</v>
      </c>
      <c r="P30" s="21">
        <f>(P14*1000*Assumptions!$D$4*Assumptions!P64)/Assumptions!$D$3</f>
        <v>13.072046443136516</v>
      </c>
      <c r="Q30" s="21">
        <f>(Q14*1000*Assumptions!$D$4*Assumptions!Q64)/Assumptions!$D$3</f>
        <v>16.155259778310832</v>
      </c>
      <c r="R30" s="21">
        <f>(R14*1000*Assumptions!$D$4*Assumptions!R64)/Assumptions!$D$3</f>
        <v>19.913830420611717</v>
      </c>
      <c r="S30" s="21">
        <f>(S14*1000*Assumptions!$D$4*Assumptions!S64)/Assumptions!$D$3</f>
        <v>20.45570335722701</v>
      </c>
      <c r="T30" s="21">
        <f>(T14*1000*Assumptions!$D$4*Assumptions!T64)/Assumptions!$D$3</f>
        <v>25.378517735271565</v>
      </c>
      <c r="U30" s="21">
        <f>(U14*1000*Assumptions!$D$4*Assumptions!U64)/Assumptions!$D$3</f>
        <v>26.069089646435426</v>
      </c>
      <c r="V30" s="21">
        <f>(V14*1000*Assumptions!$D$4*Assumptions!V64)/Assumptions!$D$3</f>
        <v>26.77845263001189</v>
      </c>
      <c r="W30" s="21">
        <f>(W14*1000*Assumptions!$D$4*Assumptions!W64)/Assumptions!$D$3</f>
        <v>33.12685179421851</v>
      </c>
      <c r="X30" s="21">
        <f>(X14*1000*Assumptions!$D$4*Assumptions!X64)/Assumptions!$D$3</f>
        <v>34.02826272739452</v>
      </c>
    </row>
    <row r="31" spans="1:24" ht="12.75" outlineLevel="1">
      <c r="A31" s="5"/>
      <c r="B31" s="5"/>
      <c r="C31" s="1"/>
      <c r="D31" s="68"/>
      <c r="E31" s="21"/>
      <c r="F31" s="21"/>
      <c r="G31" s="21"/>
      <c r="H31" s="21"/>
      <c r="I31" s="21"/>
      <c r="J31" s="21"/>
      <c r="K31" s="21"/>
      <c r="L31" s="21"/>
      <c r="M31" s="21"/>
      <c r="N31" s="21"/>
      <c r="O31" s="21"/>
      <c r="P31" s="21"/>
      <c r="Q31" s="21"/>
      <c r="R31" s="21"/>
      <c r="S31" s="21"/>
      <c r="T31" s="21"/>
      <c r="U31" s="21"/>
      <c r="V31" s="21"/>
      <c r="W31" s="21"/>
      <c r="X31" s="21"/>
    </row>
    <row r="32" spans="1:24" ht="12.75" outlineLevel="1">
      <c r="A32" s="5" t="s">
        <v>175</v>
      </c>
      <c r="B32" s="5"/>
      <c r="C32" s="1"/>
      <c r="D32" s="68"/>
      <c r="E32" s="157">
        <f>SUM(E23:E30)</f>
        <v>18.000000000000004</v>
      </c>
      <c r="F32" s="157">
        <f aca="true" t="shared" si="8" ref="F32:X32">SUM(F23:F30)</f>
        <v>18.000000000000004</v>
      </c>
      <c r="G32" s="157">
        <f t="shared" si="8"/>
        <v>18.000000000000004</v>
      </c>
      <c r="H32" s="21">
        <f>SUM(H23:H30)</f>
        <v>47.094681955718364</v>
      </c>
      <c r="I32" s="21">
        <f t="shared" si="8"/>
        <v>50.420233416996936</v>
      </c>
      <c r="J32" s="21">
        <f t="shared" si="8"/>
        <v>53.891896850470985</v>
      </c>
      <c r="K32" s="21">
        <f t="shared" si="8"/>
        <v>69.51765046388496</v>
      </c>
      <c r="L32" s="21">
        <f t="shared" si="8"/>
        <v>80.33544811260172</v>
      </c>
      <c r="M32" s="21">
        <f t="shared" si="8"/>
        <v>82.52144670069974</v>
      </c>
      <c r="N32" s="21">
        <f t="shared" si="8"/>
        <v>104.79946084218193</v>
      </c>
      <c r="O32" s="21">
        <f t="shared" si="8"/>
        <v>119.61238539054779</v>
      </c>
      <c r="P32" s="21">
        <f t="shared" si="8"/>
        <v>122.86714417668514</v>
      </c>
      <c r="Q32" s="21">
        <f t="shared" si="8"/>
        <v>153.7358710197843</v>
      </c>
      <c r="R32" s="21">
        <f t="shared" si="8"/>
        <v>189.50299203255042</v>
      </c>
      <c r="S32" s="21">
        <f t="shared" si="8"/>
        <v>194.65953603343627</v>
      </c>
      <c r="T32" s="21">
        <f t="shared" si="8"/>
        <v>244.79434384004904</v>
      </c>
      <c r="U32" s="21">
        <f t="shared" si="8"/>
        <v>251.45541442073073</v>
      </c>
      <c r="V32" s="21">
        <f t="shared" si="8"/>
        <v>258.29773862265534</v>
      </c>
      <c r="W32" s="21">
        <f t="shared" si="8"/>
        <v>323.3838400555756</v>
      </c>
      <c r="X32" s="21">
        <f t="shared" si="8"/>
        <v>332.18340032919673</v>
      </c>
    </row>
    <row r="33" spans="1:24" ht="12.75" outlineLevel="1">
      <c r="A33" s="5" t="s">
        <v>207</v>
      </c>
      <c r="B33" s="5"/>
      <c r="C33" s="1"/>
      <c r="D33" s="1"/>
      <c r="E33" s="25">
        <f>Assumptions!E81</f>
        <v>0.6</v>
      </c>
      <c r="F33" s="25">
        <f>Assumptions!F81</f>
        <v>0.65</v>
      </c>
      <c r="G33" s="25">
        <f>Assumptions!G81</f>
        <v>0.7</v>
      </c>
      <c r="H33" s="25">
        <f>Assumptions!H81</f>
        <v>0.75</v>
      </c>
      <c r="I33" s="25">
        <f>Assumptions!I81</f>
        <v>0.8</v>
      </c>
      <c r="J33" s="25">
        <f>Assumptions!J81</f>
        <v>0.8</v>
      </c>
      <c r="K33" s="25">
        <f>Assumptions!K81</f>
        <v>0.8</v>
      </c>
      <c r="L33" s="25">
        <f>Assumptions!L81</f>
        <v>0.8</v>
      </c>
      <c r="M33" s="25">
        <f>Assumptions!M81</f>
        <v>0.9</v>
      </c>
      <c r="N33" s="25">
        <f>Assumptions!N81</f>
        <v>0.9</v>
      </c>
      <c r="O33" s="25">
        <f>Assumptions!O81</f>
        <v>0.9</v>
      </c>
      <c r="P33" s="25">
        <f>Assumptions!P81</f>
        <v>0.9</v>
      </c>
      <c r="Q33" s="25">
        <f>Assumptions!Q81</f>
        <v>0.9</v>
      </c>
      <c r="R33" s="25">
        <f>Assumptions!R81</f>
        <v>0.9</v>
      </c>
      <c r="S33" s="25">
        <f>Assumptions!S81</f>
        <v>0.9</v>
      </c>
      <c r="T33" s="25">
        <f>Assumptions!T81</f>
        <v>0.9</v>
      </c>
      <c r="U33" s="25">
        <f>Assumptions!U81</f>
        <v>0.9</v>
      </c>
      <c r="V33" s="25">
        <f>Assumptions!V81</f>
        <v>0.9</v>
      </c>
      <c r="W33" s="25">
        <f>Assumptions!W81</f>
        <v>0.9</v>
      </c>
      <c r="X33" s="25">
        <f>Assumptions!X81</f>
        <v>0.9</v>
      </c>
    </row>
    <row r="34" spans="1:24" ht="12.75" outlineLevel="1">
      <c r="A34" s="5"/>
      <c r="B34" s="5"/>
      <c r="C34" s="1"/>
      <c r="D34" s="1"/>
      <c r="E34" s="1"/>
      <c r="F34" s="21"/>
      <c r="G34" s="21"/>
      <c r="H34" s="21"/>
      <c r="I34" s="21"/>
      <c r="J34" s="21"/>
      <c r="K34" s="21"/>
      <c r="L34" s="21"/>
      <c r="M34" s="21"/>
      <c r="N34" s="21"/>
      <c r="O34" s="21"/>
      <c r="P34" s="21"/>
      <c r="Q34" s="21"/>
      <c r="R34" s="21"/>
      <c r="S34" s="21"/>
      <c r="T34" s="21"/>
      <c r="U34" s="21"/>
      <c r="V34" s="21"/>
      <c r="W34" s="21"/>
      <c r="X34" s="21"/>
    </row>
    <row r="35" spans="1:24" s="69" customFormat="1" ht="12.75" outlineLevel="1">
      <c r="A35" s="17" t="s">
        <v>202</v>
      </c>
      <c r="B35" s="17"/>
      <c r="C35" s="17"/>
      <c r="D35" s="17"/>
      <c r="E35" s="488"/>
      <c r="F35" s="488"/>
      <c r="G35" s="488"/>
      <c r="H35" s="159">
        <f aca="true" t="shared" si="9" ref="H35:X35">H32*H33</f>
        <v>35.321011466788775</v>
      </c>
      <c r="I35" s="159">
        <f t="shared" si="9"/>
        <v>40.33618673359755</v>
      </c>
      <c r="J35" s="159">
        <f t="shared" si="9"/>
        <v>43.11351748037679</v>
      </c>
      <c r="K35" s="159">
        <f t="shared" si="9"/>
        <v>55.61412037110797</v>
      </c>
      <c r="L35" s="159">
        <f t="shared" si="9"/>
        <v>64.26835849008138</v>
      </c>
      <c r="M35" s="159">
        <f t="shared" si="9"/>
        <v>74.26930203062977</v>
      </c>
      <c r="N35" s="159">
        <f t="shared" si="9"/>
        <v>94.31951475796374</v>
      </c>
      <c r="O35" s="159">
        <f t="shared" si="9"/>
        <v>107.65114685149301</v>
      </c>
      <c r="P35" s="159">
        <f t="shared" si="9"/>
        <v>110.58042975901664</v>
      </c>
      <c r="Q35" s="159">
        <f t="shared" si="9"/>
        <v>138.36228391780588</v>
      </c>
      <c r="R35" s="159">
        <f t="shared" si="9"/>
        <v>170.55269282929538</v>
      </c>
      <c r="S35" s="159">
        <f t="shared" si="9"/>
        <v>175.19358243009265</v>
      </c>
      <c r="T35" s="159">
        <f t="shared" si="9"/>
        <v>220.31490945604415</v>
      </c>
      <c r="U35" s="159">
        <f t="shared" si="9"/>
        <v>226.30987297865767</v>
      </c>
      <c r="V35" s="159">
        <f t="shared" si="9"/>
        <v>232.4679647603898</v>
      </c>
      <c r="W35" s="159">
        <f t="shared" si="9"/>
        <v>291.04545605001806</v>
      </c>
      <c r="X35" s="159">
        <f t="shared" si="9"/>
        <v>298.96506029627704</v>
      </c>
    </row>
    <row r="37" spans="1:24" s="69" customFormat="1" ht="33.75" outlineLevel="1">
      <c r="A37" s="494" t="s">
        <v>458</v>
      </c>
      <c r="B37" s="17"/>
      <c r="C37" s="17"/>
      <c r="D37" s="17"/>
      <c r="E37" s="488">
        <f>E32*E33</f>
        <v>10.800000000000002</v>
      </c>
      <c r="F37" s="488">
        <f>F32*F33</f>
        <v>11.700000000000003</v>
      </c>
      <c r="G37" s="488">
        <f>G32*G33</f>
        <v>12.600000000000001</v>
      </c>
      <c r="H37" s="159"/>
      <c r="I37" s="159"/>
      <c r="J37" s="159"/>
      <c r="K37" s="159"/>
      <c r="L37" s="159"/>
      <c r="M37" s="159"/>
      <c r="N37" s="159"/>
      <c r="O37" s="159"/>
      <c r="P37" s="159"/>
      <c r="Q37" s="159"/>
      <c r="R37" s="159"/>
      <c r="S37" s="159"/>
      <c r="T37" s="159"/>
      <c r="U37" s="159"/>
      <c r="V37" s="159"/>
      <c r="W37" s="159"/>
      <c r="X37" s="159"/>
    </row>
    <row r="39" spans="1:24" s="69" customFormat="1" ht="33.75" outlineLevel="1">
      <c r="A39" s="494" t="s">
        <v>457</v>
      </c>
      <c r="B39" s="17"/>
      <c r="C39" s="17"/>
      <c r="D39" s="17"/>
      <c r="E39" s="488">
        <f>(E9*Assumptions!$E$36*E33)/10^7</f>
        <v>0.81</v>
      </c>
      <c r="F39" s="488">
        <f>((F9+E9)*Assumptions!$E$36*F33)/10^7</f>
        <v>3.8025</v>
      </c>
      <c r="G39" s="488">
        <f>((G9+F9+E9)*Assumptions!$E$36*G33)/10^7</f>
        <v>6.299999999999999</v>
      </c>
      <c r="H39" s="159"/>
      <c r="I39" s="159"/>
      <c r="J39" s="159"/>
      <c r="K39" s="159"/>
      <c r="L39" s="159"/>
      <c r="M39" s="159"/>
      <c r="N39" s="159"/>
      <c r="O39" s="159"/>
      <c r="P39" s="159"/>
      <c r="Q39" s="159"/>
      <c r="R39" s="159"/>
      <c r="S39" s="159"/>
      <c r="T39" s="159"/>
      <c r="U39" s="159"/>
      <c r="V39" s="159"/>
      <c r="W39" s="159"/>
      <c r="X39" s="159"/>
    </row>
    <row r="41" spans="1:24" ht="12.75">
      <c r="A41" s="17" t="s">
        <v>203</v>
      </c>
      <c r="B41" s="17"/>
      <c r="C41" s="17"/>
      <c r="D41" s="17"/>
      <c r="E41" s="159">
        <f>(Assumptions!E89*Assumptions!E92)/10^7</f>
        <v>0.95625</v>
      </c>
      <c r="F41" s="159">
        <f>(Assumptions!F89*Assumptions!F92)/10^7</f>
        <v>3.346875</v>
      </c>
      <c r="G41" s="159">
        <f>(Assumptions!G89*Assumptions!G92)/10^7</f>
        <v>2.459953125</v>
      </c>
      <c r="H41" s="159">
        <f>(Assumptions!H89*Assumptions!H92)/10^7</f>
        <v>5.856356345663267</v>
      </c>
      <c r="I41" s="159">
        <f>(Assumptions!I89*Assumptions!I92)/10^7</f>
        <v>0.7998838420189536</v>
      </c>
      <c r="J41" s="159">
        <f>(Assumptions!J89*Assumptions!J92)/10^7</f>
        <v>0.8627318581775862</v>
      </c>
      <c r="K41" s="159">
        <f>(Assumptions!K89*Assumptions!K92)/10^7</f>
        <v>0.9305179327486783</v>
      </c>
      <c r="L41" s="159">
        <f>(Assumptions!L89*Assumptions!L92)/10^7</f>
        <v>1.003630056036074</v>
      </c>
      <c r="M41" s="159">
        <f>(Assumptions!M89*Assumptions!M92)/10^7</f>
        <v>1.0824867032960555</v>
      </c>
      <c r="N41" s="159">
        <f>(Assumptions!N89*Assumptions!N92)/10^7</f>
        <v>1.1675392299835994</v>
      </c>
      <c r="O41" s="159">
        <f>(Assumptions!O89*Assumptions!O92)/10^7</f>
        <v>1.259274455196597</v>
      </c>
      <c r="P41" s="159">
        <f>(Assumptions!P89*Assumptions!P92)/10^7</f>
        <v>1.3582174481049032</v>
      </c>
      <c r="Q41" s="159">
        <f>(Assumptions!Q89*Assumptions!Q92)/10^7</f>
        <v>1.4649345333131487</v>
      </c>
      <c r="R41" s="159">
        <f>(Assumptions!R89*Assumptions!R92)/10^7</f>
        <v>1.580036532359186</v>
      </c>
      <c r="S41" s="159">
        <f>(Assumptions!S89*Assumptions!S92)/10^7</f>
        <v>1.7041822599016818</v>
      </c>
      <c r="T41" s="159">
        <f>(Assumptions!T89*Assumptions!T92)/10^7</f>
        <v>1.8380822946082473</v>
      </c>
      <c r="U41" s="159">
        <f>(Assumptions!U89*Assumptions!U92)/10^7</f>
        <v>1.9825030463274662</v>
      </c>
      <c r="V41" s="159">
        <f>(Assumptions!V89*Assumptions!V92)/10^7</f>
        <v>2.138271142824636</v>
      </c>
      <c r="W41" s="159">
        <f>(Assumptions!W89*Assumptions!W92)/10^7</f>
        <v>2.306278161189402</v>
      </c>
      <c r="X41" s="159">
        <f>(Assumptions!X89*Assumptions!X92)/10^7</f>
        <v>2.487485730997162</v>
      </c>
    </row>
    <row r="43" spans="1:24" ht="12.75">
      <c r="A43" s="17" t="s">
        <v>204</v>
      </c>
      <c r="B43" s="17"/>
      <c r="C43" s="17"/>
      <c r="D43" s="17"/>
      <c r="E43" s="159">
        <f>(Assumptions!E99*Assumptions!E100)/10^7</f>
        <v>0</v>
      </c>
      <c r="F43" s="159">
        <f>(Assumptions!F99*Assumptions!F100)/10^7</f>
        <v>0</v>
      </c>
      <c r="G43" s="159">
        <f>(Assumptions!G99*Assumptions!G100)/10^7</f>
        <v>0</v>
      </c>
      <c r="H43" s="159">
        <f>(Assumptions!H99*Assumptions!H100)/10^7</f>
        <v>0</v>
      </c>
      <c r="I43" s="159">
        <f>(Assumptions!I99*Assumptions!I100)/10^7</f>
        <v>0</v>
      </c>
      <c r="J43" s="159">
        <f>(Assumptions!J99*Assumptions!J100)/10^7</f>
        <v>0</v>
      </c>
      <c r="K43" s="159">
        <f>(Assumptions!K99*Assumptions!K100)/10^7</f>
        <v>0</v>
      </c>
      <c r="L43" s="159">
        <f>(Assumptions!L99*Assumptions!L100)/10^7</f>
        <v>0</v>
      </c>
      <c r="M43" s="159">
        <f>(Assumptions!M99*Assumptions!M100)/10^7</f>
        <v>0</v>
      </c>
      <c r="N43" s="159">
        <f>(Assumptions!N99*Assumptions!N100)/10^7</f>
        <v>0</v>
      </c>
      <c r="O43" s="159">
        <f>(Assumptions!O99*Assumptions!O100)/10^7</f>
        <v>0</v>
      </c>
      <c r="P43" s="159">
        <f>(Assumptions!P99*Assumptions!P100)/10^7</f>
        <v>0</v>
      </c>
      <c r="Q43" s="159">
        <f>(Assumptions!Q99*Assumptions!Q100)/10^7</f>
        <v>0</v>
      </c>
      <c r="R43" s="159">
        <f>(Assumptions!R99*Assumptions!R100)/10^7</f>
        <v>0</v>
      </c>
      <c r="S43" s="159">
        <f>(Assumptions!S99*Assumptions!S100)/10^7</f>
        <v>0</v>
      </c>
      <c r="T43" s="159">
        <f>(Assumptions!T99*Assumptions!T100)/10^7</f>
        <v>0</v>
      </c>
      <c r="U43" s="159">
        <f>(Assumptions!U99*Assumptions!U100)/10^7</f>
        <v>0</v>
      </c>
      <c r="V43" s="159">
        <f>(Assumptions!V99*Assumptions!V100)/10^7</f>
        <v>0</v>
      </c>
      <c r="W43" s="159">
        <f>(Assumptions!W99*Assumptions!W100)/10^7</f>
        <v>0</v>
      </c>
      <c r="X43" s="159">
        <f>(Assumptions!X99*Assumptions!X100)/10^7</f>
        <v>0</v>
      </c>
    </row>
    <row r="45" spans="1:24" ht="12.75">
      <c r="A45" s="17" t="s">
        <v>454</v>
      </c>
      <c r="B45" s="17"/>
      <c r="C45" s="17"/>
      <c r="D45" s="17"/>
      <c r="E45" s="159">
        <f>Assumptions!B102</f>
        <v>5</v>
      </c>
      <c r="F45" s="159">
        <f>E45*(1+Assumptions!$B$103)</f>
        <v>5.300000000000001</v>
      </c>
      <c r="G45" s="159">
        <f>F45*(1+Assumptions!$B$103)</f>
        <v>5.618000000000001</v>
      </c>
      <c r="H45" s="159">
        <f>G45*(1+Assumptions!$B$103)</f>
        <v>5.9550800000000015</v>
      </c>
      <c r="I45" s="159">
        <f>H45*(1+Assumptions!$B$103)</f>
        <v>6.312384800000002</v>
      </c>
      <c r="J45" s="159">
        <f>I45*(1+Assumptions!$B$103)</f>
        <v>6.691127888000002</v>
      </c>
      <c r="K45" s="159">
        <f>J45*(1+Assumptions!$B$103)</f>
        <v>7.092595561280003</v>
      </c>
      <c r="L45" s="159">
        <f>K45*(1+Assumptions!$B$103)</f>
        <v>7.5181512949568035</v>
      </c>
      <c r="M45" s="159">
        <f>L45*(1+Assumptions!$B$103)</f>
        <v>7.9692403726542125</v>
      </c>
      <c r="N45" s="159">
        <f>M45*(1+Assumptions!$B$103)</f>
        <v>8.447394795013466</v>
      </c>
      <c r="O45" s="159">
        <f>N45*(1+Assumptions!$B$103)</f>
        <v>8.954238482714274</v>
      </c>
      <c r="P45" s="159">
        <f>O45*(1+Assumptions!$B$103)</f>
        <v>9.49149279167713</v>
      </c>
      <c r="Q45" s="159">
        <f>P45*(1+Assumptions!$B$103)</f>
        <v>10.060982359177759</v>
      </c>
      <c r="R45" s="159">
        <f>Q45*(1+Assumptions!$B$103)</f>
        <v>10.664641300728425</v>
      </c>
      <c r="S45" s="159">
        <f>R45*(1+Assumptions!$B$103)</f>
        <v>11.30451977877213</v>
      </c>
      <c r="T45" s="159">
        <f>S45*(1+Assumptions!$B$103)</f>
        <v>11.98279096549846</v>
      </c>
      <c r="U45" s="159">
        <f>T45*(1+Assumptions!$B$103)</f>
        <v>12.701758423428368</v>
      </c>
      <c r="V45" s="159">
        <f>U45*(1+Assumptions!$B$103)</f>
        <v>13.463863928834071</v>
      </c>
      <c r="W45" s="159">
        <f>V45*(1+Assumptions!$B$103)</f>
        <v>14.271695764564116</v>
      </c>
      <c r="X45" s="159">
        <f>W45*(1+Assumptions!$B$103)</f>
        <v>15.127997510437964</v>
      </c>
    </row>
    <row r="47" spans="1:24" ht="12.75">
      <c r="A47" s="17" t="s">
        <v>205</v>
      </c>
      <c r="B47" s="17"/>
      <c r="C47" s="17"/>
      <c r="D47" s="17"/>
      <c r="E47" s="159">
        <f>E35+E37+E41+E43+E45</f>
        <v>16.75625</v>
      </c>
      <c r="F47" s="159">
        <f>F35+F37+F41+F43+F45</f>
        <v>20.346875000000004</v>
      </c>
      <c r="G47" s="159">
        <f aca="true" t="shared" si="10" ref="G47:X47">G35+G37+G41+G43+G45</f>
        <v>20.677953125000002</v>
      </c>
      <c r="H47" s="159">
        <f t="shared" si="10"/>
        <v>47.13244781245204</v>
      </c>
      <c r="I47" s="159">
        <f t="shared" si="10"/>
        <v>47.448455375616504</v>
      </c>
      <c r="J47" s="159">
        <f t="shared" si="10"/>
        <v>50.667377226554386</v>
      </c>
      <c r="K47" s="159">
        <f t="shared" si="10"/>
        <v>63.63723386513665</v>
      </c>
      <c r="L47" s="159">
        <f t="shared" si="10"/>
        <v>72.79013984107426</v>
      </c>
      <c r="M47" s="159">
        <f t="shared" si="10"/>
        <v>83.32102910658004</v>
      </c>
      <c r="N47" s="159">
        <f t="shared" si="10"/>
        <v>103.93444878296081</v>
      </c>
      <c r="O47" s="159">
        <f t="shared" si="10"/>
        <v>117.86465978940389</v>
      </c>
      <c r="P47" s="159">
        <f t="shared" si="10"/>
        <v>121.43013999879868</v>
      </c>
      <c r="Q47" s="159">
        <f t="shared" si="10"/>
        <v>149.88820081029678</v>
      </c>
      <c r="R47" s="159">
        <f t="shared" si="10"/>
        <v>182.79737066238297</v>
      </c>
      <c r="S47" s="159">
        <f t="shared" si="10"/>
        <v>188.20228446876644</v>
      </c>
      <c r="T47" s="159">
        <f t="shared" si="10"/>
        <v>234.13578271615086</v>
      </c>
      <c r="U47" s="159">
        <f t="shared" si="10"/>
        <v>240.99413444841352</v>
      </c>
      <c r="V47" s="159">
        <f t="shared" si="10"/>
        <v>248.0700998320485</v>
      </c>
      <c r="W47" s="159">
        <f t="shared" si="10"/>
        <v>307.6234299757716</v>
      </c>
      <c r="X47" s="159">
        <f t="shared" si="10"/>
        <v>316.5805435377122</v>
      </c>
    </row>
    <row r="52" ht="12.75">
      <c r="H52">
        <f>(H35*10^7)/H8</f>
        <v>1862.1567919499998</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X42"/>
  <sheetViews>
    <sheetView showGridLines="0" zoomScalePageLayoutView="0" workbookViewId="0" topLeftCell="A1">
      <selection activeCell="A1" sqref="A1"/>
    </sheetView>
  </sheetViews>
  <sheetFormatPr defaultColWidth="9.140625" defaultRowHeight="12.75" outlineLevelRow="1"/>
  <cols>
    <col min="1" max="1" width="38.8515625" style="1" bestFit="1" customWidth="1"/>
    <col min="2" max="2" width="9.28125" style="1" bestFit="1" customWidth="1"/>
    <col min="3" max="3" width="15.00390625" style="1" hidden="1" customWidth="1"/>
    <col min="4" max="4" width="13.421875" style="1" hidden="1" customWidth="1"/>
    <col min="5" max="5" width="9.28125" style="1" bestFit="1" customWidth="1"/>
    <col min="6" max="6" width="10.140625" style="1" customWidth="1"/>
    <col min="7" max="24" width="11.421875" style="1" bestFit="1" customWidth="1"/>
  </cols>
  <sheetData>
    <row r="1" spans="1:2" ht="15">
      <c r="A1" s="133" t="str">
        <f>Assumptions!A1</f>
        <v>AURANGABAD WATER SUPPLY PROJECT</v>
      </c>
      <c r="B1" s="134"/>
    </row>
    <row r="3" spans="1:2" ht="12.75">
      <c r="A3" s="3" t="s">
        <v>112</v>
      </c>
      <c r="B3" s="3"/>
    </row>
    <row r="4" ht="12.75">
      <c r="A4" s="12" t="str">
        <f>Assumptions!C3</f>
        <v>Rs. in Crores</v>
      </c>
    </row>
    <row r="5" spans="1:24" ht="12.75" outlineLevel="1">
      <c r="A5" s="4" t="s">
        <v>0</v>
      </c>
      <c r="B5" s="43"/>
      <c r="C5" s="42"/>
      <c r="D5" s="42"/>
      <c r="E5" s="43">
        <f>Assumptions!E18</f>
        <v>2012</v>
      </c>
      <c r="F5" s="43">
        <f>Assumptions!F18</f>
        <v>2013</v>
      </c>
      <c r="G5" s="43">
        <f>Assumptions!G18</f>
        <v>2014</v>
      </c>
      <c r="H5" s="43">
        <f>Assumptions!H18</f>
        <v>2015</v>
      </c>
      <c r="I5" s="43">
        <f>Assumptions!I18</f>
        <v>2016</v>
      </c>
      <c r="J5" s="43">
        <f>Assumptions!J18</f>
        <v>2017</v>
      </c>
      <c r="K5" s="43">
        <f>Assumptions!K18</f>
        <v>2018</v>
      </c>
      <c r="L5" s="43">
        <f>Assumptions!L18</f>
        <v>2019</v>
      </c>
      <c r="M5" s="43">
        <f>Assumptions!M18</f>
        <v>2020</v>
      </c>
      <c r="N5" s="43">
        <f>Assumptions!N18</f>
        <v>2021</v>
      </c>
      <c r="O5" s="43">
        <f>Assumptions!O18</f>
        <v>2022</v>
      </c>
      <c r="P5" s="43">
        <f>Assumptions!P18</f>
        <v>2023</v>
      </c>
      <c r="Q5" s="43">
        <f>Assumptions!Q18</f>
        <v>2024</v>
      </c>
      <c r="R5" s="43">
        <f>Assumptions!R18</f>
        <v>2025</v>
      </c>
      <c r="S5" s="43">
        <f>Assumptions!S18</f>
        <v>2026</v>
      </c>
      <c r="T5" s="43">
        <f>Assumptions!T18</f>
        <v>2027</v>
      </c>
      <c r="U5" s="43">
        <f>Assumptions!U18</f>
        <v>2028</v>
      </c>
      <c r="V5" s="43">
        <f>Assumptions!V18</f>
        <v>2029</v>
      </c>
      <c r="W5" s="43">
        <f>Assumptions!W18</f>
        <v>2030</v>
      </c>
      <c r="X5" s="43">
        <f>Assumptions!X18</f>
        <v>2031</v>
      </c>
    </row>
    <row r="6" spans="1:24" ht="12.75" outlineLevel="1">
      <c r="A6" s="4" t="s">
        <v>1</v>
      </c>
      <c r="B6" s="43"/>
      <c r="C6" s="42"/>
      <c r="D6" s="42"/>
      <c r="E6" s="43">
        <f>Assumptions!E19</f>
        <v>1</v>
      </c>
      <c r="F6" s="43">
        <f>Assumptions!F19</f>
        <v>2</v>
      </c>
      <c r="G6" s="43">
        <f>Assumptions!G19</f>
        <v>3</v>
      </c>
      <c r="H6" s="43">
        <f>Assumptions!H19</f>
        <v>4</v>
      </c>
      <c r="I6" s="43">
        <f>Assumptions!I19</f>
        <v>5</v>
      </c>
      <c r="J6" s="43">
        <f>Assumptions!J19</f>
        <v>6</v>
      </c>
      <c r="K6" s="43">
        <f>Assumptions!K19</f>
        <v>7</v>
      </c>
      <c r="L6" s="43">
        <f>Assumptions!L19</f>
        <v>8</v>
      </c>
      <c r="M6" s="43">
        <f>Assumptions!M19</f>
        <v>9</v>
      </c>
      <c r="N6" s="43">
        <f>Assumptions!N19</f>
        <v>10</v>
      </c>
      <c r="O6" s="43">
        <f>Assumptions!O19</f>
        <v>11</v>
      </c>
      <c r="P6" s="43">
        <f>Assumptions!P19</f>
        <v>12</v>
      </c>
      <c r="Q6" s="43">
        <f>Assumptions!Q19</f>
        <v>13</v>
      </c>
      <c r="R6" s="43">
        <f>Assumptions!R19</f>
        <v>14</v>
      </c>
      <c r="S6" s="43">
        <f>Assumptions!S19</f>
        <v>15</v>
      </c>
      <c r="T6" s="43">
        <f>Assumptions!T19</f>
        <v>16</v>
      </c>
      <c r="U6" s="43">
        <f>Assumptions!U19</f>
        <v>17</v>
      </c>
      <c r="V6" s="43">
        <f>Assumptions!V19</f>
        <v>18</v>
      </c>
      <c r="W6" s="43">
        <f>Assumptions!W19</f>
        <v>19</v>
      </c>
      <c r="X6" s="43">
        <f>Assumptions!X19</f>
        <v>20</v>
      </c>
    </row>
    <row r="7" ht="12.75" outlineLevel="1"/>
    <row r="8" spans="1:17" ht="12.75" outlineLevel="1">
      <c r="A8" s="1" t="s">
        <v>113</v>
      </c>
      <c r="E8" s="47">
        <f>'P&amp;L'!E32</f>
        <v>7.098756559107095</v>
      </c>
      <c r="F8" s="47">
        <f>'P&amp;L'!F32</f>
        <v>-5.25028583769825</v>
      </c>
      <c r="G8" s="47">
        <f>'P&amp;L'!G32</f>
        <v>-13.128838673487543</v>
      </c>
      <c r="H8" s="47">
        <f>'P&amp;L'!H32</f>
        <v>-0.7224635870358114</v>
      </c>
      <c r="I8" s="47">
        <f>'P&amp;L'!I32</f>
        <v>5.5352753013907465</v>
      </c>
      <c r="J8" s="47">
        <f>'P&amp;L'!J32</f>
        <v>13.959113836905273</v>
      </c>
      <c r="K8" s="47">
        <f>'P&amp;L'!K32</f>
        <v>30.185261701285455</v>
      </c>
      <c r="L8" s="47">
        <f>'P&amp;L'!L32</f>
        <v>43.2405890479995</v>
      </c>
      <c r="M8" s="47">
        <f>'P&amp;L'!M32</f>
        <v>56.05446599654023</v>
      </c>
      <c r="N8" s="47">
        <f>'P&amp;L'!N32</f>
        <v>57.301862874772304</v>
      </c>
      <c r="O8" s="47">
        <f>'P&amp;L'!O32</f>
        <v>87.30982291127091</v>
      </c>
      <c r="P8" s="47">
        <f>'P&amp;L'!P32</f>
        <v>96.25823354405502</v>
      </c>
      <c r="Q8" s="47"/>
    </row>
    <row r="9" spans="1:17" ht="12.75" outlineLevel="1">
      <c r="A9" s="1" t="s">
        <v>31</v>
      </c>
      <c r="E9" s="47">
        <f>'P&amp;L'!E24</f>
        <v>0</v>
      </c>
      <c r="F9" s="47">
        <f>'P&amp;L'!F24</f>
        <v>0</v>
      </c>
      <c r="G9" s="47">
        <f>'P&amp;L'!G24</f>
        <v>0</v>
      </c>
      <c r="H9" s="47">
        <f>'P&amp;L'!H24</f>
        <v>45.44822934772802</v>
      </c>
      <c r="I9" s="47">
        <f>'P&amp;L'!I24</f>
        <v>40.101378836230595</v>
      </c>
      <c r="J9" s="47">
        <f>'P&amp;L'!J24</f>
        <v>34.75452832473317</v>
      </c>
      <c r="K9" s="47">
        <f>'P&amp;L'!K24</f>
        <v>29.407677813235757</v>
      </c>
      <c r="L9" s="47">
        <f>'P&amp;L'!L24</f>
        <v>24.06082730173835</v>
      </c>
      <c r="M9" s="47">
        <f>'P&amp;L'!M24</f>
        <v>18.71397679024094</v>
      </c>
      <c r="N9" s="47">
        <f>'P&amp;L'!N24</f>
        <v>13.36712627874353</v>
      </c>
      <c r="O9" s="47">
        <f>'P&amp;L'!O24</f>
        <v>8.020275767246115</v>
      </c>
      <c r="P9" s="47">
        <f>'P&amp;L'!P24</f>
        <v>2.6734252557487017</v>
      </c>
      <c r="Q9" s="47"/>
    </row>
    <row r="10" spans="1:17" ht="12.75" outlineLevel="1">
      <c r="A10" s="1" t="s">
        <v>29</v>
      </c>
      <c r="E10" s="47">
        <f>'P&amp;L'!E20</f>
        <v>14.33145367912083</v>
      </c>
      <c r="F10" s="47">
        <f>'P&amp;L'!F20</f>
        <v>30.41766978723127</v>
      </c>
      <c r="G10" s="47">
        <f>'P&amp;L'!G20</f>
        <v>34.22292561961111</v>
      </c>
      <c r="H10" s="47">
        <f>'P&amp;L'!H20</f>
        <v>34.47292561961111</v>
      </c>
      <c r="I10" s="47">
        <f>'P&amp;L'!I20</f>
        <v>34.72292561961111</v>
      </c>
      <c r="J10" s="47">
        <f>'P&amp;L'!J20</f>
        <v>34.97292561961111</v>
      </c>
      <c r="K10" s="47">
        <f>'P&amp;L'!K20</f>
        <v>35.47292561961111</v>
      </c>
      <c r="L10" s="47">
        <f>'P&amp;L'!L20</f>
        <v>35.99792561961111</v>
      </c>
      <c r="M10" s="47">
        <f>'P&amp;L'!M20</f>
        <v>36.549175619611106</v>
      </c>
      <c r="N10" s="47">
        <f>'P&amp;L'!N20</f>
        <v>37.1279881196111</v>
      </c>
      <c r="O10" s="47">
        <f>'P&amp;L'!O20</f>
        <v>37.735741244611106</v>
      </c>
      <c r="P10" s="47">
        <f>'P&amp;L'!P20</f>
        <v>38.37388202586111</v>
      </c>
      <c r="Q10" s="47"/>
    </row>
    <row r="11" spans="1:24" s="123" customFormat="1" ht="12.75" outlineLevel="1">
      <c r="A11" s="121" t="s">
        <v>17</v>
      </c>
      <c r="B11" s="121"/>
      <c r="C11" s="121"/>
      <c r="D11" s="121"/>
      <c r="E11" s="122">
        <f>SUM(E8:E10)</f>
        <v>21.430210238227925</v>
      </c>
      <c r="F11" s="122">
        <f aca="true" t="shared" si="0" ref="F11:N11">SUM(F8:F10)</f>
        <v>25.16738394953302</v>
      </c>
      <c r="G11" s="122">
        <f t="shared" si="0"/>
        <v>21.094086946123568</v>
      </c>
      <c r="H11" s="122">
        <f t="shared" si="0"/>
        <v>79.19869138030332</v>
      </c>
      <c r="I11" s="122">
        <f t="shared" si="0"/>
        <v>80.35957975723245</v>
      </c>
      <c r="J11" s="122">
        <f t="shared" si="0"/>
        <v>83.68656778124955</v>
      </c>
      <c r="K11" s="122">
        <f t="shared" si="0"/>
        <v>95.06586513413232</v>
      </c>
      <c r="L11" s="122">
        <f t="shared" si="0"/>
        <v>103.29934196934896</v>
      </c>
      <c r="M11" s="122">
        <f t="shared" si="0"/>
        <v>111.31761840639228</v>
      </c>
      <c r="N11" s="122">
        <f t="shared" si="0"/>
        <v>107.79697727312694</v>
      </c>
      <c r="O11" s="122">
        <f>SUM(O8:O10)</f>
        <v>133.06583992312812</v>
      </c>
      <c r="P11" s="122">
        <f>SUM(P8:P10)</f>
        <v>137.30554082566482</v>
      </c>
      <c r="Q11" s="122"/>
      <c r="R11" s="121"/>
      <c r="S11" s="121"/>
      <c r="T11" s="121"/>
      <c r="U11" s="121"/>
      <c r="V11" s="121"/>
      <c r="W11" s="121"/>
      <c r="X11" s="121"/>
    </row>
    <row r="12" ht="12.75" outlineLevel="1"/>
    <row r="13" spans="1:17" ht="12.75" outlineLevel="1">
      <c r="A13" s="1" t="s">
        <v>114</v>
      </c>
      <c r="E13" s="47">
        <f>'Cash Flows'!E19</f>
        <v>0</v>
      </c>
      <c r="F13" s="47">
        <f>'Cash Flows'!F19</f>
        <v>0</v>
      </c>
      <c r="G13" s="47">
        <f>'Cash Flows'!G19</f>
        <v>0</v>
      </c>
      <c r="H13" s="47">
        <f>'Cash Flows'!H19</f>
        <v>42.774804091979306</v>
      </c>
      <c r="I13" s="47">
        <f>'Cash Flows'!I19</f>
        <v>42.774804091979306</v>
      </c>
      <c r="J13" s="47">
        <f>'Cash Flows'!J19</f>
        <v>42.774804091979306</v>
      </c>
      <c r="K13" s="47">
        <f>'Cash Flows'!K19</f>
        <v>42.774804091979306</v>
      </c>
      <c r="L13" s="47">
        <f>'Cash Flows'!L19</f>
        <v>42.774804091979306</v>
      </c>
      <c r="M13" s="47">
        <f>'Cash Flows'!M19</f>
        <v>42.774804091979306</v>
      </c>
      <c r="N13" s="47">
        <f>'Cash Flows'!N19</f>
        <v>42.774804091979306</v>
      </c>
      <c r="O13" s="47">
        <f>'Cash Flows'!O19</f>
        <v>42.774804091979306</v>
      </c>
      <c r="P13" s="47">
        <f>'Cash Flows'!P19</f>
        <v>42.774804091979256</v>
      </c>
      <c r="Q13" s="47"/>
    </row>
    <row r="14" spans="1:17" ht="12.75" outlineLevel="1">
      <c r="A14" s="1" t="s">
        <v>31</v>
      </c>
      <c r="E14" s="47">
        <f>E9</f>
        <v>0</v>
      </c>
      <c r="F14" s="47">
        <f aca="true" t="shared" si="1" ref="F14:N14">F9</f>
        <v>0</v>
      </c>
      <c r="G14" s="47">
        <f t="shared" si="1"/>
        <v>0</v>
      </c>
      <c r="H14" s="47">
        <f t="shared" si="1"/>
        <v>45.44822934772802</v>
      </c>
      <c r="I14" s="47">
        <f t="shared" si="1"/>
        <v>40.101378836230595</v>
      </c>
      <c r="J14" s="47">
        <f t="shared" si="1"/>
        <v>34.75452832473317</v>
      </c>
      <c r="K14" s="47">
        <f t="shared" si="1"/>
        <v>29.407677813235757</v>
      </c>
      <c r="L14" s="47">
        <f t="shared" si="1"/>
        <v>24.06082730173835</v>
      </c>
      <c r="M14" s="47">
        <f t="shared" si="1"/>
        <v>18.71397679024094</v>
      </c>
      <c r="N14" s="47">
        <f t="shared" si="1"/>
        <v>13.36712627874353</v>
      </c>
      <c r="O14" s="47">
        <f>O9</f>
        <v>8.020275767246115</v>
      </c>
      <c r="P14" s="47">
        <f>P9</f>
        <v>2.6734252557487017</v>
      </c>
      <c r="Q14" s="47"/>
    </row>
    <row r="15" spans="1:24" s="123" customFormat="1" ht="12.75" outlineLevel="1">
      <c r="A15" s="121" t="s">
        <v>17</v>
      </c>
      <c r="B15" s="121"/>
      <c r="C15" s="121"/>
      <c r="D15" s="121"/>
      <c r="E15" s="122">
        <f>SUM(E13:E14)</f>
        <v>0</v>
      </c>
      <c r="F15" s="122">
        <f aca="true" t="shared" si="2" ref="F15:N15">SUM(F13:F14)</f>
        <v>0</v>
      </c>
      <c r="G15" s="122">
        <f t="shared" si="2"/>
        <v>0</v>
      </c>
      <c r="H15" s="122">
        <f t="shared" si="2"/>
        <v>88.22303343970732</v>
      </c>
      <c r="I15" s="122">
        <f t="shared" si="2"/>
        <v>82.8761829282099</v>
      </c>
      <c r="J15" s="122">
        <f t="shared" si="2"/>
        <v>77.52933241671248</v>
      </c>
      <c r="K15" s="122">
        <f t="shared" si="2"/>
        <v>72.18248190521507</v>
      </c>
      <c r="L15" s="122">
        <f t="shared" si="2"/>
        <v>66.83563139371765</v>
      </c>
      <c r="M15" s="122">
        <f t="shared" si="2"/>
        <v>61.48878088222025</v>
      </c>
      <c r="N15" s="122">
        <f t="shared" si="2"/>
        <v>56.14193037072283</v>
      </c>
      <c r="O15" s="122">
        <f>SUM(O13:O14)</f>
        <v>50.795079859225424</v>
      </c>
      <c r="P15" s="122">
        <f>SUM(P13:P14)</f>
        <v>45.44822934772796</v>
      </c>
      <c r="Q15" s="122"/>
      <c r="R15" s="121"/>
      <c r="S15" s="121"/>
      <c r="T15" s="121"/>
      <c r="U15" s="121"/>
      <c r="V15" s="121"/>
      <c r="W15" s="121"/>
      <c r="X15" s="121"/>
    </row>
    <row r="16" ht="12.75" outlineLevel="1"/>
    <row r="17" spans="1:24" s="69" customFormat="1" ht="12.75" outlineLevel="1">
      <c r="A17" s="17" t="s">
        <v>115</v>
      </c>
      <c r="B17" s="17"/>
      <c r="C17" s="17"/>
      <c r="D17" s="17"/>
      <c r="E17" s="17"/>
      <c r="F17" s="78"/>
      <c r="G17" s="78"/>
      <c r="H17" s="78">
        <f aca="true" t="shared" si="3" ref="H17:N17">H11/H15</f>
        <v>0.8977099096737435</v>
      </c>
      <c r="I17" s="78">
        <f t="shared" si="3"/>
        <v>0.9696341809907267</v>
      </c>
      <c r="J17" s="78">
        <f t="shared" si="3"/>
        <v>1.0794181398524438</v>
      </c>
      <c r="K17" s="78">
        <f t="shared" si="3"/>
        <v>1.3170212858428183</v>
      </c>
      <c r="L17" s="78">
        <f t="shared" si="3"/>
        <v>1.5455729199419037</v>
      </c>
      <c r="M17" s="78">
        <f t="shared" si="3"/>
        <v>1.8103728323971418</v>
      </c>
      <c r="N17" s="78">
        <f t="shared" si="3"/>
        <v>1.9200796367582942</v>
      </c>
      <c r="O17" s="78">
        <f>O11/O15</f>
        <v>2.6196600200631566</v>
      </c>
      <c r="P17" s="78">
        <f>P11/P15</f>
        <v>3.0211416989456152</v>
      </c>
      <c r="Q17" s="499"/>
      <c r="R17" s="12"/>
      <c r="S17" s="12"/>
      <c r="T17" s="12"/>
      <c r="U17" s="12"/>
      <c r="V17" s="12"/>
      <c r="W17" s="12"/>
      <c r="X17" s="12"/>
    </row>
    <row r="18" ht="12.75" outlineLevel="1"/>
    <row r="19" spans="1:2" ht="15" outlineLevel="1">
      <c r="A19" s="105" t="s">
        <v>116</v>
      </c>
      <c r="B19" s="106">
        <f>SUM(H11:P11)/SUM(H15:P15)</f>
        <v>1.5479035874769087</v>
      </c>
    </row>
    <row r="22" spans="1:2" ht="12.75">
      <c r="A22" s="3" t="s">
        <v>111</v>
      </c>
      <c r="B22" s="3"/>
    </row>
    <row r="23" spans="1:24" ht="12.75">
      <c r="A23" s="9"/>
      <c r="B23" s="9"/>
      <c r="C23" s="9"/>
      <c r="D23" s="9"/>
      <c r="E23" s="47"/>
      <c r="F23" s="47"/>
      <c r="G23" s="47"/>
      <c r="H23" s="47"/>
      <c r="I23" s="47"/>
      <c r="J23" s="47"/>
      <c r="K23" s="47"/>
      <c r="L23" s="47"/>
      <c r="M23" s="47"/>
      <c r="N23" s="47"/>
      <c r="O23" s="47"/>
      <c r="P23" s="47"/>
      <c r="Q23" s="47"/>
      <c r="R23" s="47"/>
      <c r="S23" s="47"/>
      <c r="T23" s="47"/>
      <c r="U23" s="47"/>
      <c r="V23" s="47"/>
      <c r="W23" s="47"/>
      <c r="X23" s="47"/>
    </row>
    <row r="24" spans="1:24" ht="12.75" outlineLevel="1">
      <c r="A24" s="4" t="s">
        <v>0</v>
      </c>
      <c r="B24" s="43"/>
      <c r="C24" s="42"/>
      <c r="D24" s="42"/>
      <c r="E24" s="43">
        <f>E5</f>
        <v>2012</v>
      </c>
      <c r="F24" s="43">
        <f aca="true" t="shared" si="4" ref="F24:X24">F5</f>
        <v>2013</v>
      </c>
      <c r="G24" s="43">
        <f t="shared" si="4"/>
        <v>2014</v>
      </c>
      <c r="H24" s="43">
        <f t="shared" si="4"/>
        <v>2015</v>
      </c>
      <c r="I24" s="43">
        <f t="shared" si="4"/>
        <v>2016</v>
      </c>
      <c r="J24" s="43">
        <f t="shared" si="4"/>
        <v>2017</v>
      </c>
      <c r="K24" s="43">
        <f t="shared" si="4"/>
        <v>2018</v>
      </c>
      <c r="L24" s="43">
        <f t="shared" si="4"/>
        <v>2019</v>
      </c>
      <c r="M24" s="43">
        <f t="shared" si="4"/>
        <v>2020</v>
      </c>
      <c r="N24" s="43">
        <f t="shared" si="4"/>
        <v>2021</v>
      </c>
      <c r="O24" s="43">
        <f t="shared" si="4"/>
        <v>2022</v>
      </c>
      <c r="P24" s="43">
        <f t="shared" si="4"/>
        <v>2023</v>
      </c>
      <c r="Q24" s="43">
        <f t="shared" si="4"/>
        <v>2024</v>
      </c>
      <c r="R24" s="43">
        <f t="shared" si="4"/>
        <v>2025</v>
      </c>
      <c r="S24" s="43">
        <f t="shared" si="4"/>
        <v>2026</v>
      </c>
      <c r="T24" s="43">
        <f t="shared" si="4"/>
        <v>2027</v>
      </c>
      <c r="U24" s="43">
        <f t="shared" si="4"/>
        <v>2028</v>
      </c>
      <c r="V24" s="43">
        <f t="shared" si="4"/>
        <v>2029</v>
      </c>
      <c r="W24" s="43">
        <f t="shared" si="4"/>
        <v>2030</v>
      </c>
      <c r="X24" s="43">
        <f t="shared" si="4"/>
        <v>2031</v>
      </c>
    </row>
    <row r="25" spans="1:24" ht="12.75" outlineLevel="1">
      <c r="A25" s="4" t="s">
        <v>1</v>
      </c>
      <c r="B25" s="43"/>
      <c r="C25" s="42"/>
      <c r="D25" s="42"/>
      <c r="E25" s="43">
        <f>E6</f>
        <v>1</v>
      </c>
      <c r="F25" s="43">
        <f aca="true" t="shared" si="5" ref="F25:X25">F6</f>
        <v>2</v>
      </c>
      <c r="G25" s="43">
        <f t="shared" si="5"/>
        <v>3</v>
      </c>
      <c r="H25" s="43">
        <f t="shared" si="5"/>
        <v>4</v>
      </c>
      <c r="I25" s="43">
        <f t="shared" si="5"/>
        <v>5</v>
      </c>
      <c r="J25" s="43">
        <f t="shared" si="5"/>
        <v>6</v>
      </c>
      <c r="K25" s="43">
        <f t="shared" si="5"/>
        <v>7</v>
      </c>
      <c r="L25" s="43">
        <f t="shared" si="5"/>
        <v>8</v>
      </c>
      <c r="M25" s="43">
        <f t="shared" si="5"/>
        <v>9</v>
      </c>
      <c r="N25" s="43">
        <f t="shared" si="5"/>
        <v>10</v>
      </c>
      <c r="O25" s="43">
        <f t="shared" si="5"/>
        <v>11</v>
      </c>
      <c r="P25" s="43">
        <f t="shared" si="5"/>
        <v>12</v>
      </c>
      <c r="Q25" s="43">
        <f t="shared" si="5"/>
        <v>13</v>
      </c>
      <c r="R25" s="43">
        <f t="shared" si="5"/>
        <v>14</v>
      </c>
      <c r="S25" s="43">
        <f t="shared" si="5"/>
        <v>15</v>
      </c>
      <c r="T25" s="43">
        <f t="shared" si="5"/>
        <v>16</v>
      </c>
      <c r="U25" s="43">
        <f t="shared" si="5"/>
        <v>17</v>
      </c>
      <c r="V25" s="43">
        <f t="shared" si="5"/>
        <v>18</v>
      </c>
      <c r="W25" s="43">
        <f t="shared" si="5"/>
        <v>19</v>
      </c>
      <c r="X25" s="43">
        <f t="shared" si="5"/>
        <v>20</v>
      </c>
    </row>
    <row r="26" spans="1:24" s="66" customFormat="1" ht="12.75" outlineLevel="1">
      <c r="A26" s="8"/>
      <c r="B26" s="11"/>
      <c r="C26" s="9"/>
      <c r="D26" s="9"/>
      <c r="E26" s="11"/>
      <c r="F26" s="11"/>
      <c r="G26" s="11"/>
      <c r="H26" s="11"/>
      <c r="I26" s="11"/>
      <c r="J26" s="11"/>
      <c r="K26" s="11"/>
      <c r="L26" s="11"/>
      <c r="M26" s="11"/>
      <c r="N26" s="11"/>
      <c r="O26" s="11"/>
      <c r="P26" s="11"/>
      <c r="Q26" s="11"/>
      <c r="R26" s="11"/>
      <c r="S26" s="11"/>
      <c r="T26" s="11"/>
      <c r="U26" s="11"/>
      <c r="V26" s="11"/>
      <c r="W26" s="11"/>
      <c r="X26" s="11"/>
    </row>
    <row r="27" spans="1:24" ht="12.75" outlineLevel="1">
      <c r="A27" s="9" t="s">
        <v>72</v>
      </c>
      <c r="B27" s="9"/>
      <c r="C27" s="9"/>
      <c r="D27" s="9"/>
      <c r="E27" s="47">
        <f>'P&amp;L'!E18</f>
        <v>23.19714190081072</v>
      </c>
      <c r="F27" s="47">
        <f>'P&amp;L'!F18</f>
        <v>25.16738394953302</v>
      </c>
      <c r="G27" s="47">
        <f>'P&amp;L'!G18</f>
        <v>21.094086946123568</v>
      </c>
      <c r="H27" s="47">
        <f>'P&amp;L'!H18</f>
        <v>79.30454653142816</v>
      </c>
      <c r="I27" s="47">
        <f>'P&amp;L'!I18</f>
        <v>81.82295343759813</v>
      </c>
      <c r="J27" s="47">
        <f>'P&amp;L'!J18</f>
        <v>87.25778972915485</v>
      </c>
      <c r="K27" s="47">
        <f>'P&amp;L'!K18</f>
        <v>102.8020063393301</v>
      </c>
      <c r="L27" s="47">
        <f>'P&amp;L'!L18</f>
        <v>114.36152352399101</v>
      </c>
      <c r="M27" s="47">
        <f>'P&amp;L'!M18</f>
        <v>127.73878628800784</v>
      </c>
      <c r="N27" s="47">
        <f>'P&amp;L'!N18</f>
        <v>138.73252166232433</v>
      </c>
      <c r="O27" s="47">
        <f>'P&amp;L'!O18</f>
        <v>155.39480571846127</v>
      </c>
      <c r="P27" s="47">
        <f>'P&amp;L'!P18</f>
        <v>161.86333899071</v>
      </c>
      <c r="Q27" s="47">
        <f>'P&amp;L'!Q18</f>
        <v>193.34604984188238</v>
      </c>
      <c r="R27" s="47">
        <f>'P&amp;L'!R18</f>
        <v>229.0884173398834</v>
      </c>
      <c r="S27" s="47">
        <f>'P&amp;L'!S18</f>
        <v>238.17145612891795</v>
      </c>
      <c r="T27" s="47">
        <f>'P&amp;L'!T18</f>
        <v>287.81726484154535</v>
      </c>
      <c r="U27" s="47">
        <f>'P&amp;L'!U18</f>
        <v>298.9817042517592</v>
      </c>
      <c r="V27" s="47">
        <f>'P&amp;L'!V18</f>
        <v>309.882301970469</v>
      </c>
      <c r="W27" s="47">
        <f>'P&amp;L'!W18</f>
        <v>373.0840816415323</v>
      </c>
      <c r="X27" s="47">
        <f>'P&amp;L'!X18</f>
        <v>385.74969055290194</v>
      </c>
    </row>
    <row r="28" spans="1:24" ht="12.75" outlineLevel="1">
      <c r="A28" s="9" t="s">
        <v>73</v>
      </c>
      <c r="B28" s="9"/>
      <c r="C28" s="9"/>
      <c r="D28" s="9"/>
      <c r="E28" s="47">
        <f>'CoP &amp; MoF'!E14</f>
        <v>286.6290735824166</v>
      </c>
      <c r="F28" s="47">
        <f>'CoP &amp; MoF'!F14</f>
        <v>321.72432216220875</v>
      </c>
      <c r="G28" s="47">
        <f>'CoP &amp; MoF'!G14</f>
        <v>76.10511664759674</v>
      </c>
      <c r="H28" s="47">
        <f>'CoP &amp; MoF'!H14</f>
        <v>5</v>
      </c>
      <c r="I28" s="47">
        <f>'CoP &amp; MoF'!I14</f>
        <v>5</v>
      </c>
      <c r="J28" s="47">
        <f>'CoP &amp; MoF'!J14</f>
        <v>5</v>
      </c>
      <c r="K28" s="47">
        <f>'CoP &amp; MoF'!K14</f>
        <v>10</v>
      </c>
      <c r="L28" s="47">
        <f>'CoP &amp; MoF'!L14</f>
        <v>10.5</v>
      </c>
      <c r="M28" s="47">
        <f>'CoP &amp; MoF'!M14</f>
        <v>11.025</v>
      </c>
      <c r="N28" s="47">
        <f>'CoP &amp; MoF'!N14</f>
        <v>11.576250000000002</v>
      </c>
      <c r="O28" s="47">
        <f>'CoP &amp; MoF'!O14</f>
        <v>12.155062500000001</v>
      </c>
      <c r="P28" s="47">
        <f>'CoP &amp; MoF'!P14</f>
        <v>12.762815625000002</v>
      </c>
      <c r="Q28" s="47">
        <f>'CoP &amp; MoF'!Q14</f>
        <v>13.400956406250003</v>
      </c>
      <c r="R28" s="47">
        <f>'CoP &amp; MoF'!R14</f>
        <v>14.071004226562504</v>
      </c>
      <c r="S28" s="47">
        <f>'CoP &amp; MoF'!S14</f>
        <v>14.77455443789063</v>
      </c>
      <c r="T28" s="47">
        <f>'CoP &amp; MoF'!T14</f>
        <v>15.513282159785163</v>
      </c>
      <c r="U28" s="47">
        <f>'CoP &amp; MoF'!U14</f>
        <v>16.28894626777442</v>
      </c>
      <c r="V28" s="47">
        <f>'CoP &amp; MoF'!V14</f>
        <v>17.103393581163143</v>
      </c>
      <c r="W28" s="47">
        <f>'CoP &amp; MoF'!W14</f>
        <v>17.9585632602213</v>
      </c>
      <c r="X28" s="47">
        <f>'CoP &amp; MoF'!X14</f>
        <v>18.856491423232367</v>
      </c>
    </row>
    <row r="29" spans="1:24" ht="12.75" outlineLevel="1">
      <c r="A29" s="9" t="s">
        <v>74</v>
      </c>
      <c r="B29" s="9"/>
      <c r="C29" s="9"/>
      <c r="D29" s="9"/>
      <c r="E29" s="47">
        <f>'Cash Flows'!E13</f>
        <v>0</v>
      </c>
      <c r="F29" s="47">
        <f>'Cash Flows'!F13</f>
        <v>0</v>
      </c>
      <c r="G29" s="47">
        <f>'Cash Flows'!G13</f>
        <v>0</v>
      </c>
      <c r="H29" s="47">
        <f>'Cash Flows'!H13</f>
        <v>0.8468412089987225</v>
      </c>
      <c r="I29" s="47">
        <f>'Cash Flows'!I13</f>
        <v>-0.1620110523695406</v>
      </c>
      <c r="J29" s="47">
        <f>'Cash Flows'!J13</f>
        <v>0.0887532178436643</v>
      </c>
      <c r="K29" s="47">
        <f>'Cash Flows'!K13</f>
        <v>1.0089130005558369</v>
      </c>
      <c r="L29" s="47">
        <f>'Cash Flows'!L13</f>
        <v>0.6118023489437852</v>
      </c>
      <c r="M29" s="47">
        <f>'Cash Flows'!M13</f>
        <v>0.750825128601476</v>
      </c>
      <c r="N29" s="47">
        <f>'Cash Flows'!N13</f>
        <v>0.6288055926781224</v>
      </c>
      <c r="O29" s="47">
        <f>'Cash Flows'!O13</f>
        <v>1.0014441639093445</v>
      </c>
      <c r="P29" s="47">
        <f>'Cash Flows'!P13</f>
        <v>0.01206783379092613</v>
      </c>
      <c r="Q29" s="47">
        <f>'Cash Flows'!Q13</f>
        <v>2.322033325175143</v>
      </c>
      <c r="R29" s="47">
        <f>'Cash Flows'!R13</f>
        <v>2.687492588831116</v>
      </c>
      <c r="S29" s="47">
        <f>'Cash Flows'!S13</f>
        <v>0.14134868262348732</v>
      </c>
      <c r="T29" s="47">
        <f>'Cash Flows'!T13</f>
        <v>3.903439920066557</v>
      </c>
      <c r="U29" s="47">
        <f>'Cash Flows'!U13</f>
        <v>0.24689528390248938</v>
      </c>
      <c r="V29" s="47">
        <f>'Cash Flows'!V13</f>
        <v>0.18188033529602166</v>
      </c>
      <c r="W29" s="47">
        <f>'Cash Flows'!W13</f>
        <v>5.0389387340691805</v>
      </c>
      <c r="X29" s="47">
        <f>'Cash Flows'!X13</f>
        <v>0.24965384238348065</v>
      </c>
    </row>
    <row r="30" spans="1:24" ht="12.75" outlineLevel="1">
      <c r="A30" s="9" t="s">
        <v>75</v>
      </c>
      <c r="B30" s="9"/>
      <c r="C30" s="9"/>
      <c r="D30" s="9"/>
      <c r="E30" s="47">
        <f>'P&amp;L'!E30</f>
        <v>1.766931662582795</v>
      </c>
      <c r="F30" s="47">
        <f>'P&amp;L'!F30</f>
        <v>0</v>
      </c>
      <c r="G30" s="47">
        <f>'P&amp;L'!G30</f>
        <v>0</v>
      </c>
      <c r="H30" s="47">
        <f>'P&amp;L'!H30</f>
        <v>0</v>
      </c>
      <c r="I30" s="47">
        <f>'P&amp;L'!I30</f>
        <v>1.3777699107870311</v>
      </c>
      <c r="J30" s="47">
        <f>'P&amp;L'!J30</f>
        <v>3.474524026096192</v>
      </c>
      <c r="K30" s="47">
        <f>'P&amp;L'!K30</f>
        <v>7.51332915831921</v>
      </c>
      <c r="L30" s="47">
        <f>'P&amp;L'!L30</f>
        <v>10.762894214145499</v>
      </c>
      <c r="M30" s="47">
        <f>'P&amp;L'!M30</f>
        <v>16.02802740004383</v>
      </c>
      <c r="N30" s="47">
        <f>'P&amp;L'!N30</f>
        <v>30.463803208540888</v>
      </c>
      <c r="O30" s="47">
        <f>'P&amp;L'!O30</f>
        <v>21.732044094187952</v>
      </c>
      <c r="P30" s="47">
        <f>'P&amp;L'!P30</f>
        <v>23.959367984676117</v>
      </c>
      <c r="Q30" s="47">
        <f>'P&amp;L'!Q30</f>
        <v>30.575297724983784</v>
      </c>
      <c r="R30" s="47">
        <f>'P&amp;L'!R30</f>
        <v>37.49158185109844</v>
      </c>
      <c r="S30" s="47">
        <f>'P&amp;L'!S30</f>
        <v>39.15108169772358</v>
      </c>
      <c r="T30" s="47">
        <f>'P&amp;L'!T30</f>
        <v>63.14646012703148</v>
      </c>
      <c r="U30" s="47">
        <f>'P&amp;L'!U30</f>
        <v>91.0493688049393</v>
      </c>
      <c r="V30" s="47">
        <f>'P&amp;L'!V30</f>
        <v>94.86872723862622</v>
      </c>
      <c r="W30" s="47">
        <f>'P&amp;L'!W30</f>
        <v>115.80977875106994</v>
      </c>
      <c r="X30" s="47">
        <f>'P&amp;L'!X30</f>
        <v>120.11445339691626</v>
      </c>
    </row>
    <row r="31" spans="1:24" ht="12.75" outlineLevel="1">
      <c r="A31" s="48" t="s">
        <v>76</v>
      </c>
      <c r="B31" s="48"/>
      <c r="C31" s="48"/>
      <c r="D31" s="48"/>
      <c r="E31" s="49">
        <f aca="true" t="shared" si="6" ref="E31:X31">E27-SUM(E28:E30)</f>
        <v>-265.1988633441887</v>
      </c>
      <c r="F31" s="49">
        <f t="shared" si="6"/>
        <v>-296.55693821267573</v>
      </c>
      <c r="G31" s="49">
        <f t="shared" si="6"/>
        <v>-55.01102970147318</v>
      </c>
      <c r="H31" s="49">
        <f t="shared" si="6"/>
        <v>73.45770532242943</v>
      </c>
      <c r="I31" s="49">
        <f t="shared" si="6"/>
        <v>75.60719457918064</v>
      </c>
      <c r="J31" s="49">
        <f t="shared" si="6"/>
        <v>78.694512485215</v>
      </c>
      <c r="K31" s="49">
        <f t="shared" si="6"/>
        <v>84.27976418045506</v>
      </c>
      <c r="L31" s="49">
        <f t="shared" si="6"/>
        <v>92.48682696090172</v>
      </c>
      <c r="M31" s="49">
        <f t="shared" si="6"/>
        <v>99.93493375936254</v>
      </c>
      <c r="N31" s="49">
        <f t="shared" si="6"/>
        <v>96.06366286110531</v>
      </c>
      <c r="O31" s="49">
        <f t="shared" si="6"/>
        <v>120.50625496036398</v>
      </c>
      <c r="P31" s="49">
        <f t="shared" si="6"/>
        <v>125.12908754724295</v>
      </c>
      <c r="Q31" s="49">
        <f t="shared" si="6"/>
        <v>147.04776238547345</v>
      </c>
      <c r="R31" s="49">
        <f t="shared" si="6"/>
        <v>174.83833867339132</v>
      </c>
      <c r="S31" s="49">
        <f t="shared" si="6"/>
        <v>184.10447131068025</v>
      </c>
      <c r="T31" s="49">
        <f t="shared" si="6"/>
        <v>205.25408263466215</v>
      </c>
      <c r="U31" s="49">
        <f t="shared" si="6"/>
        <v>191.39649389514298</v>
      </c>
      <c r="V31" s="49">
        <f t="shared" si="6"/>
        <v>197.7283008153836</v>
      </c>
      <c r="W31" s="49">
        <f t="shared" si="6"/>
        <v>234.27680089617186</v>
      </c>
      <c r="X31" s="49">
        <f t="shared" si="6"/>
        <v>246.52909189036984</v>
      </c>
    </row>
    <row r="32" spans="1:24" ht="12.75" outlineLevel="1">
      <c r="A32" s="9" t="s">
        <v>77</v>
      </c>
      <c r="B32" s="9"/>
      <c r="C32" s="9"/>
      <c r="D32" s="9"/>
      <c r="E32" s="47">
        <f>-'CoP &amp; MoF'!E19</f>
        <v>-179.03557749292088</v>
      </c>
      <c r="F32" s="47">
        <f>-'CoP &amp; MoF'!F19</f>
        <v>-186.9781801649354</v>
      </c>
      <c r="G32" s="47">
        <f>-'CoP &amp; MoF'!G19</f>
        <v>-18.959479169957536</v>
      </c>
      <c r="H32" s="47">
        <f>H13</f>
        <v>42.774804091979306</v>
      </c>
      <c r="I32" s="47">
        <f aca="true" t="shared" si="7" ref="I32:X32">I13</f>
        <v>42.774804091979306</v>
      </c>
      <c r="J32" s="47">
        <f t="shared" si="7"/>
        <v>42.774804091979306</v>
      </c>
      <c r="K32" s="47">
        <f t="shared" si="7"/>
        <v>42.774804091979306</v>
      </c>
      <c r="L32" s="47">
        <f t="shared" si="7"/>
        <v>42.774804091979306</v>
      </c>
      <c r="M32" s="47">
        <f t="shared" si="7"/>
        <v>42.774804091979306</v>
      </c>
      <c r="N32" s="47">
        <f t="shared" si="7"/>
        <v>42.774804091979306</v>
      </c>
      <c r="O32" s="47">
        <f t="shared" si="7"/>
        <v>42.774804091979306</v>
      </c>
      <c r="P32" s="47">
        <f t="shared" si="7"/>
        <v>42.774804091979256</v>
      </c>
      <c r="Q32" s="47">
        <f t="shared" si="7"/>
        <v>0</v>
      </c>
      <c r="R32" s="47">
        <f t="shared" si="7"/>
        <v>0</v>
      </c>
      <c r="S32" s="47">
        <f t="shared" si="7"/>
        <v>0</v>
      </c>
      <c r="T32" s="47">
        <f t="shared" si="7"/>
        <v>0</v>
      </c>
      <c r="U32" s="47">
        <f t="shared" si="7"/>
        <v>0</v>
      </c>
      <c r="V32" s="47">
        <f t="shared" si="7"/>
        <v>0</v>
      </c>
      <c r="W32" s="47">
        <f t="shared" si="7"/>
        <v>0</v>
      </c>
      <c r="X32" s="47">
        <f t="shared" si="7"/>
        <v>0</v>
      </c>
    </row>
    <row r="33" spans="1:24" ht="12.75" outlineLevel="1">
      <c r="A33" s="1" t="s">
        <v>243</v>
      </c>
      <c r="D33" s="9"/>
      <c r="E33" s="47">
        <f>'P&amp;L'!E26</f>
        <v>0</v>
      </c>
      <c r="F33" s="47">
        <f>'P&amp;L'!F26</f>
        <v>0</v>
      </c>
      <c r="G33" s="47">
        <f>'P&amp;L'!G26</f>
        <v>0</v>
      </c>
      <c r="H33" s="47">
        <f>'P&amp;L'!H26</f>
        <v>45.55408449885286</v>
      </c>
      <c r="I33" s="47">
        <f>'P&amp;L'!I26</f>
        <v>40.18698260580924</v>
      </c>
      <c r="J33" s="47">
        <f>'P&amp;L'!J26</f>
        <v>34.851226246542275</v>
      </c>
      <c r="K33" s="47">
        <f>'P&amp;L'!K26</f>
        <v>29.63048986011434</v>
      </c>
      <c r="L33" s="47">
        <f>'P&amp;L'!L26</f>
        <v>24.360114642234908</v>
      </c>
      <c r="M33" s="47">
        <f>'P&amp;L'!M26</f>
        <v>19.107117271812683</v>
      </c>
      <c r="N33" s="47">
        <f>'P&amp;L'!N26</f>
        <v>13.838867459400038</v>
      </c>
      <c r="O33" s="47">
        <f>'P&amp;L'!O26</f>
        <v>8.617197468391291</v>
      </c>
      <c r="P33" s="47">
        <f>'P&amp;L'!P26</f>
        <v>3.271855436117744</v>
      </c>
      <c r="Q33" s="47">
        <f>'P&amp;L'!Q26</f>
        <v>0.888684346015935</v>
      </c>
      <c r="R33" s="47">
        <f>'P&amp;L'!R26</f>
        <v>1.2246209196198246</v>
      </c>
      <c r="S33" s="47">
        <f>'P&amp;L'!S26</f>
        <v>1.2422895049477605</v>
      </c>
      <c r="T33" s="47">
        <f>'P&amp;L'!T26</f>
        <v>1.73021949495608</v>
      </c>
      <c r="U33" s="47">
        <f>'P&amp;L'!U26</f>
        <v>1.7610814054438912</v>
      </c>
      <c r="V33" s="47">
        <f>'P&amp;L'!V26</f>
        <v>1.783816447355894</v>
      </c>
      <c r="W33" s="47">
        <f>'P&amp;L'!W26</f>
        <v>2.4136837891145415</v>
      </c>
      <c r="X33" s="47">
        <f>'P&amp;L'!X26</f>
        <v>2.4448905194124766</v>
      </c>
    </row>
    <row r="34" spans="1:24" ht="12.75" outlineLevel="1">
      <c r="A34" s="50" t="s">
        <v>78</v>
      </c>
      <c r="B34" s="50"/>
      <c r="C34" s="50"/>
      <c r="D34" s="50"/>
      <c r="E34" s="51">
        <f>E31-E32-E33</f>
        <v>-86.1632858512678</v>
      </c>
      <c r="F34" s="51">
        <f aca="true" t="shared" si="8" ref="F34:X34">F31-F32-F33</f>
        <v>-109.57875804774034</v>
      </c>
      <c r="G34" s="51">
        <f t="shared" si="8"/>
        <v>-36.051550531515645</v>
      </c>
      <c r="H34" s="51">
        <f t="shared" si="8"/>
        <v>-14.871183268402731</v>
      </c>
      <c r="I34" s="51">
        <f t="shared" si="8"/>
        <v>-7.354592118607904</v>
      </c>
      <c r="J34" s="51">
        <f t="shared" si="8"/>
        <v>1.0684821466934196</v>
      </c>
      <c r="K34" s="51">
        <f t="shared" si="8"/>
        <v>11.874470228361414</v>
      </c>
      <c r="L34" s="51">
        <f t="shared" si="8"/>
        <v>25.35190822668751</v>
      </c>
      <c r="M34" s="51">
        <f t="shared" si="8"/>
        <v>38.05301239557055</v>
      </c>
      <c r="N34" s="51">
        <f t="shared" si="8"/>
        <v>39.449991309725974</v>
      </c>
      <c r="O34" s="51">
        <f t="shared" si="8"/>
        <v>69.11425339999337</v>
      </c>
      <c r="P34" s="51">
        <f t="shared" si="8"/>
        <v>79.08242801914595</v>
      </c>
      <c r="Q34" s="51">
        <f t="shared" si="8"/>
        <v>146.1590780394575</v>
      </c>
      <c r="R34" s="51">
        <f t="shared" si="8"/>
        <v>173.61371775377148</v>
      </c>
      <c r="S34" s="51">
        <f t="shared" si="8"/>
        <v>182.8621818057325</v>
      </c>
      <c r="T34" s="51">
        <f t="shared" si="8"/>
        <v>203.52386313970607</v>
      </c>
      <c r="U34" s="51">
        <f t="shared" si="8"/>
        <v>189.6354124896991</v>
      </c>
      <c r="V34" s="51">
        <f t="shared" si="8"/>
        <v>195.9444843680277</v>
      </c>
      <c r="W34" s="51">
        <f t="shared" si="8"/>
        <v>231.86311710705732</v>
      </c>
      <c r="X34" s="51">
        <f t="shared" si="8"/>
        <v>244.08420137095737</v>
      </c>
    </row>
    <row r="35" spans="1:24" ht="12.75" outlineLevel="1">
      <c r="A35" s="9"/>
      <c r="B35" s="9"/>
      <c r="C35" s="9"/>
      <c r="D35" s="9"/>
      <c r="E35" s="47"/>
      <c r="F35" s="47"/>
      <c r="G35" s="47"/>
      <c r="H35" s="47"/>
      <c r="I35" s="47"/>
      <c r="J35" s="47"/>
      <c r="K35" s="47"/>
      <c r="L35" s="47"/>
      <c r="M35" s="47"/>
      <c r="N35" s="47"/>
      <c r="O35" s="47"/>
      <c r="P35" s="47"/>
      <c r="Q35" s="47"/>
      <c r="R35" s="47"/>
      <c r="S35" s="47"/>
      <c r="T35" s="47"/>
      <c r="U35" s="47"/>
      <c r="V35" s="47"/>
      <c r="W35" s="47"/>
      <c r="X35" s="47"/>
    </row>
    <row r="36" spans="1:24" s="66" customFormat="1" ht="15.75" outlineLevel="1">
      <c r="A36" s="105" t="s">
        <v>79</v>
      </c>
      <c r="B36" s="500">
        <f>IRR(E31:X31)</f>
        <v>0.13505730956217918</v>
      </c>
      <c r="D36" s="77"/>
      <c r="E36" s="77"/>
      <c r="F36" s="47"/>
      <c r="G36" s="47"/>
      <c r="H36" s="47"/>
      <c r="I36" s="47"/>
      <c r="J36" s="47"/>
      <c r="K36" s="47"/>
      <c r="L36" s="47"/>
      <c r="M36" s="47"/>
      <c r="N36" s="47"/>
      <c r="O36" s="47"/>
      <c r="P36" s="47"/>
      <c r="Q36" s="47"/>
      <c r="R36" s="47"/>
      <c r="S36" s="47"/>
      <c r="T36" s="47"/>
      <c r="U36" s="47"/>
      <c r="V36" s="47"/>
      <c r="W36" s="47"/>
      <c r="X36" s="47"/>
    </row>
    <row r="37" spans="1:24" ht="12.75" outlineLevel="1">
      <c r="A37" s="9"/>
      <c r="B37" s="52"/>
      <c r="D37" s="9"/>
      <c r="E37" s="47"/>
      <c r="F37" s="47"/>
      <c r="G37" s="47"/>
      <c r="H37" s="47"/>
      <c r="I37" s="47"/>
      <c r="J37" s="47"/>
      <c r="K37" s="47"/>
      <c r="L37" s="47"/>
      <c r="M37" s="47"/>
      <c r="N37" s="47"/>
      <c r="O37" s="47"/>
      <c r="P37" s="47"/>
      <c r="Q37" s="47"/>
      <c r="R37" s="47"/>
      <c r="S37" s="47"/>
      <c r="T37" s="47"/>
      <c r="U37" s="47"/>
      <c r="V37" s="47"/>
      <c r="W37" s="47"/>
      <c r="X37" s="47"/>
    </row>
    <row r="38" spans="1:24" s="66" customFormat="1" ht="15.75" outlineLevel="1">
      <c r="A38" s="105" t="s">
        <v>80</v>
      </c>
      <c r="B38" s="500">
        <f>IRR(E34:X34)</f>
        <v>0.16213452867611278</v>
      </c>
      <c r="D38" s="77"/>
      <c r="E38" s="77"/>
      <c r="F38" s="47"/>
      <c r="G38" s="47"/>
      <c r="H38" s="47"/>
      <c r="I38" s="47"/>
      <c r="J38" s="47"/>
      <c r="K38" s="47"/>
      <c r="L38" s="47"/>
      <c r="M38" s="47"/>
      <c r="N38" s="47"/>
      <c r="O38" s="47"/>
      <c r="P38" s="47"/>
      <c r="Q38" s="47"/>
      <c r="R38" s="47"/>
      <c r="S38" s="47"/>
      <c r="T38" s="47"/>
      <c r="U38" s="47"/>
      <c r="V38" s="47"/>
      <c r="W38" s="47"/>
      <c r="X38" s="47"/>
    </row>
    <row r="41" ht="12.75">
      <c r="B41" s="489"/>
    </row>
    <row r="42" ht="12.75">
      <c r="B42" s="489"/>
    </row>
  </sheetData>
  <sheetProtection/>
  <printOptions horizontalCentered="1" verticalCentered="1"/>
  <pageMargins left="0.35" right="0.17" top="0.75" bottom="0.75" header="0.3" footer="0.3"/>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codeName="Sheet12"/>
  <dimension ref="A1:Y24"/>
  <sheetViews>
    <sheetView showGridLines="0" zoomScale="140" zoomScaleNormal="140" zoomScalePageLayoutView="0" workbookViewId="0" topLeftCell="A1">
      <selection activeCell="C12" sqref="C12"/>
    </sheetView>
  </sheetViews>
  <sheetFormatPr defaultColWidth="9.140625" defaultRowHeight="12.75" outlineLevelRow="1"/>
  <cols>
    <col min="1" max="1" width="28.140625" style="0" bestFit="1" customWidth="1"/>
  </cols>
  <sheetData>
    <row r="1" spans="1:3" ht="15">
      <c r="A1" s="133" t="str">
        <f>Assumptions!A1</f>
        <v>AURANGABAD WATER SUPPLY PROJECT</v>
      </c>
      <c r="B1" s="134"/>
      <c r="C1" s="134"/>
    </row>
    <row r="3" spans="1:24" ht="12.75">
      <c r="A3" s="3" t="s">
        <v>463</v>
      </c>
      <c r="B3" s="3"/>
      <c r="C3" s="1"/>
      <c r="D3" s="1"/>
      <c r="E3" s="6"/>
      <c r="F3" s="1"/>
      <c r="G3" s="1"/>
      <c r="H3" s="1"/>
      <c r="I3" s="1"/>
      <c r="J3" s="1"/>
      <c r="K3" s="1"/>
      <c r="L3" s="1"/>
      <c r="M3" s="1"/>
      <c r="N3" s="1"/>
      <c r="O3" s="1"/>
      <c r="P3" s="1"/>
      <c r="Q3" s="1"/>
      <c r="R3" s="1"/>
      <c r="S3" s="1"/>
      <c r="T3" s="1"/>
      <c r="U3" s="1"/>
      <c r="V3" s="1"/>
      <c r="W3" s="1"/>
      <c r="X3" s="1"/>
    </row>
    <row r="4" spans="1:24" ht="12.75">
      <c r="A4" s="1"/>
      <c r="B4" s="1"/>
      <c r="C4" s="1"/>
      <c r="D4" s="1"/>
      <c r="E4" s="6"/>
      <c r="F4" s="1"/>
      <c r="G4" s="1"/>
      <c r="H4" s="1"/>
      <c r="I4" s="1"/>
      <c r="J4" s="1"/>
      <c r="K4" s="1"/>
      <c r="L4" s="1"/>
      <c r="M4" s="1"/>
      <c r="N4" s="1"/>
      <c r="O4" s="1"/>
      <c r="P4" s="1"/>
      <c r="Q4" s="1"/>
      <c r="R4" s="1"/>
      <c r="S4" s="1"/>
      <c r="T4" s="1"/>
      <c r="U4" s="1"/>
      <c r="V4" s="1"/>
      <c r="W4" s="1"/>
      <c r="X4" s="1"/>
    </row>
    <row r="5" spans="1:24" ht="12.75" outlineLevel="1">
      <c r="A5" s="4" t="s">
        <v>0</v>
      </c>
      <c r="B5" s="4"/>
      <c r="C5" s="4"/>
      <c r="D5" s="568" t="s">
        <v>17</v>
      </c>
      <c r="E5" s="43">
        <f>Assumptions!E18</f>
        <v>2012</v>
      </c>
      <c r="F5" s="43">
        <f>Assumptions!F18</f>
        <v>2013</v>
      </c>
      <c r="G5" s="43">
        <f>Assumptions!G18</f>
        <v>2014</v>
      </c>
      <c r="H5" s="43">
        <f>Assumptions!H18</f>
        <v>2015</v>
      </c>
      <c r="I5" s="43">
        <f>Assumptions!I18</f>
        <v>2016</v>
      </c>
      <c r="J5" s="43">
        <f>Assumptions!J18</f>
        <v>2017</v>
      </c>
      <c r="K5" s="43">
        <f>Assumptions!K18</f>
        <v>2018</v>
      </c>
      <c r="L5" s="43">
        <f>Assumptions!L18</f>
        <v>2019</v>
      </c>
      <c r="M5" s="43">
        <f>Assumptions!M18</f>
        <v>2020</v>
      </c>
      <c r="N5" s="43">
        <f>Assumptions!N18</f>
        <v>2021</v>
      </c>
      <c r="O5" s="43">
        <f>Assumptions!O18</f>
        <v>2022</v>
      </c>
      <c r="P5" s="43">
        <f>Assumptions!P18</f>
        <v>2023</v>
      </c>
      <c r="Q5" s="43">
        <f>Assumptions!Q18</f>
        <v>2024</v>
      </c>
      <c r="R5" s="43">
        <f>Assumptions!R18</f>
        <v>2025</v>
      </c>
      <c r="S5" s="43">
        <f>Assumptions!S18</f>
        <v>2026</v>
      </c>
      <c r="T5" s="43">
        <f>Assumptions!T18</f>
        <v>2027</v>
      </c>
      <c r="U5" s="43">
        <f>Assumptions!U18</f>
        <v>2028</v>
      </c>
      <c r="V5" s="43">
        <f>Assumptions!V18</f>
        <v>2029</v>
      </c>
      <c r="W5" s="43">
        <f>Assumptions!W18</f>
        <v>2030</v>
      </c>
      <c r="X5" s="43">
        <f>Assumptions!X18</f>
        <v>2031</v>
      </c>
    </row>
    <row r="6" spans="1:24" ht="12.75" outlineLevel="1">
      <c r="A6" s="4" t="s">
        <v>1</v>
      </c>
      <c r="B6" s="4"/>
      <c r="C6" s="4"/>
      <c r="D6" s="568"/>
      <c r="E6" s="43">
        <f>Assumptions!E19</f>
        <v>1</v>
      </c>
      <c r="F6" s="43">
        <f>Assumptions!F19</f>
        <v>2</v>
      </c>
      <c r="G6" s="43">
        <f>Assumptions!G19</f>
        <v>3</v>
      </c>
      <c r="H6" s="43">
        <f>Assumptions!H19</f>
        <v>4</v>
      </c>
      <c r="I6" s="43">
        <f>Assumptions!I19</f>
        <v>5</v>
      </c>
      <c r="J6" s="43">
        <f>Assumptions!J19</f>
        <v>6</v>
      </c>
      <c r="K6" s="43">
        <f>Assumptions!K19</f>
        <v>7</v>
      </c>
      <c r="L6" s="43">
        <f>Assumptions!L19</f>
        <v>8</v>
      </c>
      <c r="M6" s="43">
        <f>Assumptions!M19</f>
        <v>9</v>
      </c>
      <c r="N6" s="43">
        <f>Assumptions!N19</f>
        <v>10</v>
      </c>
      <c r="O6" s="43">
        <f>Assumptions!O19</f>
        <v>11</v>
      </c>
      <c r="P6" s="43">
        <f>Assumptions!P19</f>
        <v>12</v>
      </c>
      <c r="Q6" s="43">
        <f>Assumptions!Q19</f>
        <v>13</v>
      </c>
      <c r="R6" s="43">
        <f>Assumptions!R19</f>
        <v>14</v>
      </c>
      <c r="S6" s="43">
        <f>Assumptions!S19</f>
        <v>15</v>
      </c>
      <c r="T6" s="43">
        <f>Assumptions!T19</f>
        <v>16</v>
      </c>
      <c r="U6" s="43">
        <f>Assumptions!U19</f>
        <v>17</v>
      </c>
      <c r="V6" s="43">
        <f>Assumptions!V19</f>
        <v>18</v>
      </c>
      <c r="W6" s="43">
        <f>Assumptions!W19</f>
        <v>19</v>
      </c>
      <c r="X6" s="43">
        <f>Assumptions!X19</f>
        <v>20</v>
      </c>
    </row>
    <row r="7" spans="1:24" ht="12.75" outlineLevel="1">
      <c r="A7" s="12"/>
      <c r="B7" s="12"/>
      <c r="C7" s="1"/>
      <c r="D7" s="6"/>
      <c r="E7" s="167"/>
      <c r="F7" s="167"/>
      <c r="G7" s="167"/>
      <c r="H7" s="1"/>
      <c r="I7" s="1"/>
      <c r="J7" s="1"/>
      <c r="K7" s="1"/>
      <c r="L7" s="1"/>
      <c r="M7" s="1"/>
      <c r="N7" s="1"/>
      <c r="O7" s="1"/>
      <c r="P7" s="1"/>
      <c r="Q7" s="1"/>
      <c r="R7" s="1"/>
      <c r="S7" s="1"/>
      <c r="T7" s="1"/>
      <c r="U7" s="1"/>
      <c r="V7" s="1"/>
      <c r="W7" s="1"/>
      <c r="X7" s="1"/>
    </row>
    <row r="8" spans="1:24" ht="12.75" outlineLevel="1">
      <c r="A8" s="13" t="s">
        <v>3</v>
      </c>
      <c r="B8" s="13"/>
      <c r="C8" s="61">
        <f>Assumptions!$D$112</f>
        <v>0.9076349420076822</v>
      </c>
      <c r="D8" s="7">
        <f>D10*C8</f>
        <v>537.5617868964961</v>
      </c>
      <c r="E8" s="7">
        <f>$D$8*Assumptions!D115</f>
        <v>267.46133655167523</v>
      </c>
      <c r="F8" s="7">
        <f>$D$8*Assumptions!D116</f>
        <v>265.7878971058633</v>
      </c>
      <c r="G8" s="7">
        <f>$D$8*Assumptions!D117</f>
        <v>4.31255323895757</v>
      </c>
      <c r="H8" s="1"/>
      <c r="I8" s="1"/>
      <c r="J8" s="1"/>
      <c r="K8" s="1"/>
      <c r="L8" s="1"/>
      <c r="M8" s="1"/>
      <c r="N8" s="1"/>
      <c r="O8" s="1"/>
      <c r="P8" s="1"/>
      <c r="Q8" s="1"/>
      <c r="R8" s="1"/>
      <c r="S8" s="1"/>
      <c r="T8" s="1"/>
      <c r="U8" s="1"/>
      <c r="V8" s="1"/>
      <c r="W8" s="1"/>
      <c r="X8" s="1"/>
    </row>
    <row r="9" spans="1:24" ht="12.75" outlineLevel="1">
      <c r="A9" s="13" t="s">
        <v>192</v>
      </c>
      <c r="B9" s="13"/>
      <c r="C9" s="61">
        <f>Assumptions!$D$113</f>
        <v>0.09236505799231783</v>
      </c>
      <c r="D9" s="7">
        <f>D10*C9</f>
        <v>54.704731300140494</v>
      </c>
      <c r="E9" s="7">
        <f>$D$9*Assumptions!E115</f>
        <v>7.978013437433812</v>
      </c>
      <c r="F9" s="7">
        <f>$D$9*Assumptions!E116</f>
        <v>21.87084160942189</v>
      </c>
      <c r="G9" s="7">
        <f>$D$9*Assumptions!E117</f>
        <v>24.855876253284794</v>
      </c>
      <c r="H9" s="101">
        <v>5</v>
      </c>
      <c r="I9" s="101">
        <v>5</v>
      </c>
      <c r="J9" s="2">
        <v>5</v>
      </c>
      <c r="K9" s="101">
        <v>10</v>
      </c>
      <c r="L9" s="101">
        <f>K9*(1+5%)</f>
        <v>10.5</v>
      </c>
      <c r="M9" s="101">
        <f aca="true" t="shared" si="0" ref="M9:X9">L9*(1+5%)</f>
        <v>11.025</v>
      </c>
      <c r="N9" s="101">
        <f t="shared" si="0"/>
        <v>11.576250000000002</v>
      </c>
      <c r="O9" s="101">
        <f t="shared" si="0"/>
        <v>12.155062500000001</v>
      </c>
      <c r="P9" s="101">
        <f t="shared" si="0"/>
        <v>12.762815625000002</v>
      </c>
      <c r="Q9" s="101">
        <f t="shared" si="0"/>
        <v>13.400956406250003</v>
      </c>
      <c r="R9" s="101">
        <f t="shared" si="0"/>
        <v>14.071004226562504</v>
      </c>
      <c r="S9" s="101">
        <f t="shared" si="0"/>
        <v>14.77455443789063</v>
      </c>
      <c r="T9" s="101">
        <f t="shared" si="0"/>
        <v>15.513282159785163</v>
      </c>
      <c r="U9" s="101">
        <f t="shared" si="0"/>
        <v>16.28894626777442</v>
      </c>
      <c r="V9" s="101">
        <f t="shared" si="0"/>
        <v>17.103393581163143</v>
      </c>
      <c r="W9" s="14">
        <f t="shared" si="0"/>
        <v>17.9585632602213</v>
      </c>
      <c r="X9" s="14">
        <f t="shared" si="0"/>
        <v>18.856491423232367</v>
      </c>
    </row>
    <row r="10" spans="1:24" ht="12.75" outlineLevel="1">
      <c r="A10" s="12" t="s">
        <v>461</v>
      </c>
      <c r="B10" s="12"/>
      <c r="C10" s="62"/>
      <c r="D10" s="64">
        <f>Assumptions!D110</f>
        <v>592.2665181966365</v>
      </c>
      <c r="E10" s="14">
        <f aca="true" t="shared" si="1" ref="E10:X10">SUM(E8:E9)</f>
        <v>275.439349989109</v>
      </c>
      <c r="F10" s="14">
        <f t="shared" si="1"/>
        <v>287.6587387152852</v>
      </c>
      <c r="G10" s="14">
        <f t="shared" si="1"/>
        <v>29.168429492242364</v>
      </c>
      <c r="H10" s="14">
        <f t="shared" si="1"/>
        <v>5</v>
      </c>
      <c r="I10" s="14">
        <f t="shared" si="1"/>
        <v>5</v>
      </c>
      <c r="J10" s="14">
        <f t="shared" si="1"/>
        <v>5</v>
      </c>
      <c r="K10" s="14">
        <f t="shared" si="1"/>
        <v>10</v>
      </c>
      <c r="L10" s="14">
        <f t="shared" si="1"/>
        <v>10.5</v>
      </c>
      <c r="M10" s="14">
        <f t="shared" si="1"/>
        <v>11.025</v>
      </c>
      <c r="N10" s="14">
        <f t="shared" si="1"/>
        <v>11.576250000000002</v>
      </c>
      <c r="O10" s="14">
        <f t="shared" si="1"/>
        <v>12.155062500000001</v>
      </c>
      <c r="P10" s="14">
        <f t="shared" si="1"/>
        <v>12.762815625000002</v>
      </c>
      <c r="Q10" s="14">
        <f t="shared" si="1"/>
        <v>13.400956406250003</v>
      </c>
      <c r="R10" s="14">
        <f t="shared" si="1"/>
        <v>14.071004226562504</v>
      </c>
      <c r="S10" s="14">
        <f t="shared" si="1"/>
        <v>14.77455443789063</v>
      </c>
      <c r="T10" s="14">
        <f t="shared" si="1"/>
        <v>15.513282159785163</v>
      </c>
      <c r="U10" s="14">
        <f t="shared" si="1"/>
        <v>16.28894626777442</v>
      </c>
      <c r="V10" s="14">
        <f t="shared" si="1"/>
        <v>17.103393581163143</v>
      </c>
      <c r="W10" s="14">
        <f t="shared" si="1"/>
        <v>17.9585632602213</v>
      </c>
      <c r="X10" s="14">
        <f t="shared" si="1"/>
        <v>18.856491423232367</v>
      </c>
    </row>
    <row r="11" spans="1:24" ht="12.75" outlineLevel="1">
      <c r="A11" s="12" t="s">
        <v>462</v>
      </c>
      <c r="B11" s="12"/>
      <c r="C11" s="62"/>
      <c r="D11" s="64">
        <f>SUM(H10:X10)</f>
        <v>210.98631988787952</v>
      </c>
      <c r="E11" s="15"/>
      <c r="F11" s="15"/>
      <c r="G11" s="15"/>
      <c r="H11" s="15"/>
      <c r="I11" s="15"/>
      <c r="J11" s="15"/>
      <c r="K11" s="15"/>
      <c r="L11" s="15"/>
      <c r="M11" s="15"/>
      <c r="N11" s="15"/>
      <c r="O11" s="15"/>
      <c r="P11" s="15"/>
      <c r="Q11" s="15"/>
      <c r="R11" s="15"/>
      <c r="S11" s="15"/>
      <c r="T11" s="15"/>
      <c r="U11" s="15"/>
      <c r="V11" s="15"/>
      <c r="W11" s="15"/>
      <c r="X11" s="15"/>
    </row>
    <row r="12" spans="1:24" ht="12.75" outlineLevel="1">
      <c r="A12" s="13" t="s">
        <v>5</v>
      </c>
      <c r="B12" s="13"/>
      <c r="C12" s="63">
        <f>Assumptions!D111</f>
        <v>0.13</v>
      </c>
      <c r="D12" s="7">
        <f>SUM(E12:X12)</f>
        <v>92.1919941955855</v>
      </c>
      <c r="E12" s="7">
        <f>'Term Loan'!I15</f>
        <v>11.189723593307555</v>
      </c>
      <c r="F12" s="7">
        <f>'Term Loan'!I20</f>
        <v>34.06558344692357</v>
      </c>
      <c r="G12" s="7">
        <f>'Term Loan'!I25</f>
        <v>46.93668715535438</v>
      </c>
      <c r="H12" s="1"/>
      <c r="I12" s="1"/>
      <c r="J12" s="1"/>
      <c r="K12" s="1"/>
      <c r="L12" s="1"/>
      <c r="M12" s="1"/>
      <c r="N12" s="1"/>
      <c r="O12" s="1"/>
      <c r="P12" s="1"/>
      <c r="Q12" s="1"/>
      <c r="R12" s="1"/>
      <c r="S12" s="1"/>
      <c r="T12" s="1"/>
      <c r="U12" s="1"/>
      <c r="V12" s="1"/>
      <c r="W12" s="1"/>
      <c r="X12" s="1"/>
    </row>
    <row r="13" spans="1:24" ht="12.75" outlineLevel="1">
      <c r="A13" s="13" t="s">
        <v>146</v>
      </c>
      <c r="B13" s="13"/>
      <c r="C13" s="1"/>
      <c r="D13" s="7">
        <f>SUM(E13:X13)</f>
        <v>0</v>
      </c>
      <c r="E13" s="7">
        <f>WC!E20</f>
        <v>0</v>
      </c>
      <c r="F13" s="7">
        <f>WC!F20</f>
        <v>0</v>
      </c>
      <c r="G13" s="7">
        <f>WC!G20</f>
        <v>0</v>
      </c>
      <c r="H13" s="7">
        <f>WC!H20</f>
        <v>0</v>
      </c>
      <c r="I13" s="7">
        <f>WC!I20</f>
        <v>0</v>
      </c>
      <c r="J13" s="7">
        <f>WC!J20</f>
        <v>0</v>
      </c>
      <c r="K13" s="7">
        <f>WC!K20</f>
        <v>0</v>
      </c>
      <c r="L13" s="7">
        <f>WC!L20</f>
        <v>0</v>
      </c>
      <c r="M13" s="7">
        <f>WC!M20</f>
        <v>0</v>
      </c>
      <c r="N13" s="7">
        <f>WC!N20</f>
        <v>0</v>
      </c>
      <c r="O13" s="7">
        <f>WC!O20</f>
        <v>0</v>
      </c>
      <c r="P13" s="7">
        <f>WC!P20</f>
        <v>0</v>
      </c>
      <c r="Q13" s="7">
        <f>WC!Q20</f>
        <v>0</v>
      </c>
      <c r="R13" s="7">
        <f>WC!R20</f>
        <v>0</v>
      </c>
      <c r="S13" s="7">
        <f>WC!S20</f>
        <v>0</v>
      </c>
      <c r="T13" s="7">
        <f>WC!T20</f>
        <v>0</v>
      </c>
      <c r="U13" s="7">
        <f>WC!U20</f>
        <v>0</v>
      </c>
      <c r="V13" s="7">
        <f>WC!V20</f>
        <v>0</v>
      </c>
      <c r="W13" s="7">
        <f>WC!W20</f>
        <v>0</v>
      </c>
      <c r="X13" s="7">
        <f>WC!X20</f>
        <v>0</v>
      </c>
    </row>
    <row r="14" spans="1:24" ht="12.75" outlineLevel="1">
      <c r="A14" s="17" t="s">
        <v>428</v>
      </c>
      <c r="B14" s="17"/>
      <c r="C14" s="17"/>
      <c r="D14" s="18">
        <f>SUM(D10:D13)</f>
        <v>895.4448322801015</v>
      </c>
      <c r="E14" s="18">
        <f>SUM(E10:E13)</f>
        <v>286.6290735824166</v>
      </c>
      <c r="F14" s="18">
        <f aca="true" t="shared" si="2" ref="F14:X14">SUM(F10:F13)</f>
        <v>321.72432216220875</v>
      </c>
      <c r="G14" s="18">
        <f t="shared" si="2"/>
        <v>76.10511664759674</v>
      </c>
      <c r="H14" s="18">
        <f t="shared" si="2"/>
        <v>5</v>
      </c>
      <c r="I14" s="18">
        <f t="shared" si="2"/>
        <v>5</v>
      </c>
      <c r="J14" s="18">
        <f t="shared" si="2"/>
        <v>5</v>
      </c>
      <c r="K14" s="18">
        <f t="shared" si="2"/>
        <v>10</v>
      </c>
      <c r="L14" s="18">
        <f t="shared" si="2"/>
        <v>10.5</v>
      </c>
      <c r="M14" s="18">
        <f t="shared" si="2"/>
        <v>11.025</v>
      </c>
      <c r="N14" s="18">
        <f t="shared" si="2"/>
        <v>11.576250000000002</v>
      </c>
      <c r="O14" s="18">
        <f t="shared" si="2"/>
        <v>12.155062500000001</v>
      </c>
      <c r="P14" s="18">
        <f t="shared" si="2"/>
        <v>12.762815625000002</v>
      </c>
      <c r="Q14" s="18">
        <f t="shared" si="2"/>
        <v>13.400956406250003</v>
      </c>
      <c r="R14" s="18">
        <f t="shared" si="2"/>
        <v>14.071004226562504</v>
      </c>
      <c r="S14" s="18">
        <f t="shared" si="2"/>
        <v>14.77455443789063</v>
      </c>
      <c r="T14" s="18">
        <f t="shared" si="2"/>
        <v>15.513282159785163</v>
      </c>
      <c r="U14" s="18">
        <f t="shared" si="2"/>
        <v>16.28894626777442</v>
      </c>
      <c r="V14" s="18">
        <f t="shared" si="2"/>
        <v>17.103393581163143</v>
      </c>
      <c r="W14" s="18">
        <f t="shared" si="2"/>
        <v>17.9585632602213</v>
      </c>
      <c r="X14" s="18">
        <f t="shared" si="2"/>
        <v>18.856491423232367</v>
      </c>
    </row>
    <row r="15" spans="1:24" ht="12.75">
      <c r="A15" s="1"/>
      <c r="B15" s="1"/>
      <c r="C15" s="1"/>
      <c r="D15" s="1"/>
      <c r="E15" s="6"/>
      <c r="F15" s="1"/>
      <c r="G15" s="1"/>
      <c r="H15" s="1"/>
      <c r="I15" s="1"/>
      <c r="J15" s="1"/>
      <c r="K15" s="1"/>
      <c r="L15" s="1"/>
      <c r="M15" s="1"/>
      <c r="N15" s="1"/>
      <c r="O15" s="1"/>
      <c r="P15" s="1"/>
      <c r="Q15" s="1"/>
      <c r="R15" s="1"/>
      <c r="S15" s="1"/>
      <c r="T15" s="1"/>
      <c r="U15" s="1"/>
      <c r="V15" s="1"/>
      <c r="W15" s="1"/>
      <c r="X15" s="1"/>
    </row>
    <row r="16" spans="1:24" ht="12.75">
      <c r="A16" s="3" t="s">
        <v>14</v>
      </c>
      <c r="B16" s="3"/>
      <c r="C16" s="26"/>
      <c r="D16" s="1"/>
      <c r="E16" s="27"/>
      <c r="F16" s="27"/>
      <c r="G16" s="27"/>
      <c r="H16" s="1"/>
      <c r="I16" s="1"/>
      <c r="J16" s="1"/>
      <c r="K16" s="1"/>
      <c r="L16" s="1"/>
      <c r="M16" s="1"/>
      <c r="N16" s="1"/>
      <c r="O16" s="1"/>
      <c r="P16" s="1"/>
      <c r="Q16" s="1"/>
      <c r="R16" s="1"/>
      <c r="S16" s="1"/>
      <c r="T16" s="1"/>
      <c r="U16" s="1"/>
      <c r="V16" s="1"/>
      <c r="W16" s="1"/>
      <c r="X16" s="1"/>
    </row>
    <row r="17" spans="1:24" ht="12.75" outlineLevel="1">
      <c r="A17" s="8"/>
      <c r="B17" s="8"/>
      <c r="C17" s="26"/>
      <c r="D17" s="1"/>
      <c r="E17" s="27"/>
      <c r="F17" s="27"/>
      <c r="G17" s="27"/>
      <c r="H17" s="1"/>
      <c r="I17" s="1"/>
      <c r="J17" s="1"/>
      <c r="K17" s="1"/>
      <c r="L17" s="1"/>
      <c r="M17" s="1"/>
      <c r="N17" s="1"/>
      <c r="O17" s="1"/>
      <c r="P17" s="1"/>
      <c r="Q17" s="1"/>
      <c r="R17" s="1"/>
      <c r="S17" s="1"/>
      <c r="T17" s="1"/>
      <c r="U17" s="1"/>
      <c r="V17" s="1"/>
      <c r="W17" s="1"/>
      <c r="X17" s="1"/>
    </row>
    <row r="18" spans="1:25" ht="12.75" outlineLevel="1">
      <c r="A18" s="1" t="s">
        <v>15</v>
      </c>
      <c r="B18" s="25">
        <f>Assumptions!$B$126</f>
        <v>0.35</v>
      </c>
      <c r="C18" s="28">
        <f>D10*B18</f>
        <v>207.29328136882276</v>
      </c>
      <c r="D18" s="1"/>
      <c r="E18" s="174">
        <f>(E10*$B$18)+E12+E13</f>
        <v>107.59349608949572</v>
      </c>
      <c r="F18" s="174">
        <f>(F10*$B$18)+F12+F13</f>
        <v>134.74614199727338</v>
      </c>
      <c r="G18" s="174">
        <f>(G10*$B$18)+G12+G13</f>
        <v>57.145637477639205</v>
      </c>
      <c r="H18" s="174">
        <v>0</v>
      </c>
      <c r="I18" s="174">
        <v>0</v>
      </c>
      <c r="J18" s="174">
        <v>0</v>
      </c>
      <c r="K18" s="174">
        <v>0</v>
      </c>
      <c r="L18" s="174">
        <v>0</v>
      </c>
      <c r="M18" s="174">
        <v>0</v>
      </c>
      <c r="N18" s="174">
        <v>0</v>
      </c>
      <c r="O18" s="174">
        <v>0</v>
      </c>
      <c r="P18" s="174">
        <v>0</v>
      </c>
      <c r="Q18" s="174">
        <v>0</v>
      </c>
      <c r="R18" s="174">
        <v>0</v>
      </c>
      <c r="S18" s="174">
        <v>0</v>
      </c>
      <c r="T18" s="174">
        <v>0</v>
      </c>
      <c r="U18" s="174">
        <v>0</v>
      </c>
      <c r="V18" s="174">
        <v>0</v>
      </c>
      <c r="W18" s="174">
        <v>0</v>
      </c>
      <c r="X18" s="174">
        <v>0</v>
      </c>
      <c r="Y18" s="175"/>
    </row>
    <row r="19" spans="1:25" ht="12.75" outlineLevel="1">
      <c r="A19" s="1" t="s">
        <v>16</v>
      </c>
      <c r="B19" s="25">
        <f>Assumptions!B125</f>
        <v>0.65</v>
      </c>
      <c r="C19" s="28">
        <f>D10*B19</f>
        <v>384.97323682781376</v>
      </c>
      <c r="D19" s="1"/>
      <c r="E19" s="174">
        <f>E10*$B$19</f>
        <v>179.03557749292088</v>
      </c>
      <c r="F19" s="174">
        <f>F10*$B$19</f>
        <v>186.9781801649354</v>
      </c>
      <c r="G19" s="174">
        <f>G10*$B$19</f>
        <v>18.959479169957536</v>
      </c>
      <c r="H19" s="172"/>
      <c r="I19" s="172"/>
      <c r="J19" s="172"/>
      <c r="K19" s="172"/>
      <c r="L19" s="172"/>
      <c r="M19" s="172"/>
      <c r="N19" s="172"/>
      <c r="O19" s="172"/>
      <c r="P19" s="172"/>
      <c r="Q19" s="172"/>
      <c r="R19" s="172"/>
      <c r="S19" s="172"/>
      <c r="T19" s="172"/>
      <c r="U19" s="172"/>
      <c r="V19" s="172"/>
      <c r="W19" s="172"/>
      <c r="X19" s="172"/>
      <c r="Y19" s="175"/>
    </row>
    <row r="20" spans="1:24" ht="12.75" outlineLevel="1">
      <c r="A20" s="17" t="s">
        <v>17</v>
      </c>
      <c r="B20" s="17"/>
      <c r="C20" s="29">
        <f>SUM(C18:C19)</f>
        <v>592.2665181966365</v>
      </c>
      <c r="D20" s="1"/>
      <c r="E20" s="1"/>
      <c r="F20" s="1"/>
      <c r="G20" s="1"/>
      <c r="H20" s="1"/>
      <c r="I20" s="1"/>
      <c r="J20" s="1"/>
      <c r="K20" s="1"/>
      <c r="L20" s="1"/>
      <c r="M20" s="1"/>
      <c r="N20" s="1"/>
      <c r="O20" s="1"/>
      <c r="P20" s="1"/>
      <c r="Q20" s="1"/>
      <c r="R20" s="1"/>
      <c r="S20" s="1"/>
      <c r="T20" s="1"/>
      <c r="U20" s="1"/>
      <c r="V20" s="1"/>
      <c r="W20" s="1"/>
      <c r="X20" s="1"/>
    </row>
    <row r="21" spans="1:24" ht="12.75" outlineLevel="1">
      <c r="A21" s="30"/>
      <c r="B21" s="30"/>
      <c r="C21" s="31"/>
      <c r="D21" s="1"/>
      <c r="E21" s="1"/>
      <c r="F21" s="1"/>
      <c r="G21" s="1"/>
      <c r="H21" s="1"/>
      <c r="I21" s="1"/>
      <c r="J21" s="1"/>
      <c r="K21" s="1"/>
      <c r="L21" s="1"/>
      <c r="M21" s="1"/>
      <c r="N21" s="1"/>
      <c r="O21" s="1"/>
      <c r="P21" s="1"/>
      <c r="Q21" s="1"/>
      <c r="R21" s="1"/>
      <c r="S21" s="1"/>
      <c r="T21" s="1"/>
      <c r="U21" s="1"/>
      <c r="V21" s="1"/>
      <c r="W21" s="1"/>
      <c r="X21" s="1"/>
    </row>
    <row r="22" ht="12.75">
      <c r="E22" s="161"/>
    </row>
    <row r="24" spans="2:7" ht="12.75">
      <c r="B24" s="160"/>
      <c r="C24" s="161"/>
      <c r="D24" s="161"/>
      <c r="E24" s="161"/>
      <c r="F24" s="161"/>
      <c r="G24" s="162"/>
    </row>
  </sheetData>
  <sheetProtection/>
  <mergeCells count="1">
    <mergeCell ref="D5:D6"/>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13"/>
  <dimension ref="A1:X39"/>
  <sheetViews>
    <sheetView showGridLines="0" zoomScale="120" zoomScaleNormal="120" zoomScalePageLayoutView="0" workbookViewId="0" topLeftCell="A1">
      <pane xSplit="4" ySplit="6" topLeftCell="E7" activePane="bottomRight" state="frozen"/>
      <selection pane="topLeft" activeCell="D11" sqref="D11"/>
      <selection pane="topRight" activeCell="D11" sqref="D11"/>
      <selection pane="bottomLeft" activeCell="D11" sqref="D11"/>
      <selection pane="bottomRight" activeCell="F14" sqref="F14"/>
    </sheetView>
  </sheetViews>
  <sheetFormatPr defaultColWidth="9.140625" defaultRowHeight="12.75" outlineLevelRow="1"/>
  <cols>
    <col min="1" max="1" width="21.57421875" style="0" bestFit="1" customWidth="1"/>
    <col min="2" max="2" width="12.57421875" style="0" customWidth="1"/>
    <col min="3" max="3" width="10.00390625" style="0" customWidth="1"/>
    <col min="4" max="5" width="9.140625" style="0" customWidth="1"/>
    <col min="6" max="6" width="10.00390625" style="0" bestFit="1" customWidth="1"/>
    <col min="8" max="8" width="12.8515625" style="0" bestFit="1" customWidth="1"/>
    <col min="9" max="9" width="11.8515625" style="0" bestFit="1" customWidth="1"/>
  </cols>
  <sheetData>
    <row r="1" spans="1:10" ht="15">
      <c r="A1" s="133" t="str">
        <f>Assumptions!A1</f>
        <v>AURANGABAD WATER SUPPLY PROJECT</v>
      </c>
      <c r="B1" s="134"/>
      <c r="C1" s="134"/>
      <c r="D1" s="496"/>
      <c r="E1" s="496"/>
      <c r="F1" s="496"/>
      <c r="G1" s="496"/>
      <c r="H1" s="496"/>
      <c r="I1" s="496"/>
      <c r="J1" s="496"/>
    </row>
    <row r="2" spans="4:10" ht="12.75">
      <c r="D2" s="496"/>
      <c r="E2" s="496"/>
      <c r="F2" s="497"/>
      <c r="G2" s="496"/>
      <c r="H2" s="496"/>
      <c r="I2" s="496"/>
      <c r="J2" s="496"/>
    </row>
    <row r="3" spans="1:24" ht="12.75">
      <c r="A3" s="3" t="s">
        <v>28</v>
      </c>
      <c r="B3" s="3"/>
      <c r="C3" s="1"/>
      <c r="D3" s="2"/>
      <c r="E3" s="2"/>
      <c r="F3" s="2"/>
      <c r="G3" s="2"/>
      <c r="H3" s="2"/>
      <c r="I3" s="2"/>
      <c r="J3" s="496"/>
      <c r="K3" s="1"/>
      <c r="L3" s="1"/>
      <c r="M3" s="1"/>
      <c r="N3" s="1"/>
      <c r="O3" s="1"/>
      <c r="P3" s="1"/>
      <c r="Q3" s="1"/>
      <c r="R3" s="1"/>
      <c r="S3" s="1"/>
      <c r="T3" s="1"/>
      <c r="U3" s="1"/>
      <c r="V3" s="1"/>
      <c r="W3" s="1"/>
      <c r="X3" s="38"/>
    </row>
    <row r="4" spans="1:24" s="66" customFormat="1" ht="12.75">
      <c r="A4" s="19"/>
      <c r="B4" s="19"/>
      <c r="C4" s="2"/>
      <c r="D4" s="2"/>
      <c r="E4" s="2"/>
      <c r="F4" s="2"/>
      <c r="G4" s="2"/>
      <c r="H4" s="2"/>
      <c r="I4" s="2"/>
      <c r="J4" s="496"/>
      <c r="K4" s="2"/>
      <c r="L4" s="2"/>
      <c r="M4" s="2"/>
      <c r="N4" s="2"/>
      <c r="O4" s="2"/>
      <c r="P4" s="2"/>
      <c r="Q4" s="2"/>
      <c r="R4" s="2"/>
      <c r="S4" s="2"/>
      <c r="T4" s="2"/>
      <c r="U4" s="2"/>
      <c r="V4" s="2"/>
      <c r="W4" s="2"/>
      <c r="X4" s="2"/>
    </row>
    <row r="5" spans="1:24" ht="12.75">
      <c r="A5" s="8" t="str">
        <f>Assumptions!C3</f>
        <v>Rs. in Crores</v>
      </c>
      <c r="B5" s="8"/>
      <c r="C5" s="1"/>
      <c r="D5" s="2"/>
      <c r="E5" s="2"/>
      <c r="F5" s="2"/>
      <c r="G5" s="2"/>
      <c r="H5" s="2"/>
      <c r="I5" s="2"/>
      <c r="J5" s="2"/>
      <c r="K5" s="1"/>
      <c r="L5" s="1"/>
      <c r="M5" s="1"/>
      <c r="N5" s="1"/>
      <c r="O5" s="1"/>
      <c r="P5" s="1"/>
      <c r="Q5" s="1"/>
      <c r="R5" s="1"/>
      <c r="S5" s="1"/>
      <c r="T5" s="1"/>
      <c r="U5" s="1"/>
      <c r="V5" s="1"/>
      <c r="W5" s="1"/>
      <c r="X5" s="1"/>
    </row>
    <row r="6" spans="1:24" ht="12.75" outlineLevel="1">
      <c r="A6" s="4" t="s">
        <v>0</v>
      </c>
      <c r="B6" s="4"/>
      <c r="C6" s="23"/>
      <c r="D6" s="23"/>
      <c r="E6" s="4">
        <f>Assumptions!E18</f>
        <v>2012</v>
      </c>
      <c r="F6" s="4">
        <f>Assumptions!F18</f>
        <v>2013</v>
      </c>
      <c r="G6" s="4">
        <f>Assumptions!G18</f>
        <v>2014</v>
      </c>
      <c r="H6" s="4">
        <f>Assumptions!H18</f>
        <v>2015</v>
      </c>
      <c r="I6" s="4">
        <f>Assumptions!I18</f>
        <v>2016</v>
      </c>
      <c r="J6" s="4">
        <f>Assumptions!J18</f>
        <v>2017</v>
      </c>
      <c r="K6" s="4">
        <f>Assumptions!K18</f>
        <v>2018</v>
      </c>
      <c r="L6" s="4">
        <f>Assumptions!L18</f>
        <v>2019</v>
      </c>
      <c r="M6" s="4">
        <f>Assumptions!M18</f>
        <v>2020</v>
      </c>
      <c r="N6" s="4">
        <f>Assumptions!N18</f>
        <v>2021</v>
      </c>
      <c r="O6" s="4">
        <f>Assumptions!O18</f>
        <v>2022</v>
      </c>
      <c r="P6" s="4">
        <f>Assumptions!P18</f>
        <v>2023</v>
      </c>
      <c r="Q6" s="4">
        <f>Assumptions!Q18</f>
        <v>2024</v>
      </c>
      <c r="R6" s="4">
        <f>Assumptions!R18</f>
        <v>2025</v>
      </c>
      <c r="S6" s="4">
        <f>Assumptions!S18</f>
        <v>2026</v>
      </c>
      <c r="T6" s="4">
        <f>Assumptions!T18</f>
        <v>2027</v>
      </c>
      <c r="U6" s="4">
        <f>Assumptions!U18</f>
        <v>2028</v>
      </c>
      <c r="V6" s="4">
        <f>Assumptions!V18</f>
        <v>2029</v>
      </c>
      <c r="W6" s="4">
        <f>Assumptions!W18</f>
        <v>2030</v>
      </c>
      <c r="X6" s="4">
        <f>Assumptions!X18</f>
        <v>2031</v>
      </c>
    </row>
    <row r="7" spans="1:24" ht="12.75" outlineLevel="1">
      <c r="A7" s="4" t="s">
        <v>1</v>
      </c>
      <c r="B7" s="4"/>
      <c r="C7" s="23"/>
      <c r="D7" s="23"/>
      <c r="E7" s="4">
        <f>Assumptions!E19</f>
        <v>1</v>
      </c>
      <c r="F7" s="4">
        <f>Assumptions!F19</f>
        <v>2</v>
      </c>
      <c r="G7" s="4">
        <f>Assumptions!G19</f>
        <v>3</v>
      </c>
      <c r="H7" s="4">
        <f>Assumptions!H19</f>
        <v>4</v>
      </c>
      <c r="I7" s="4">
        <f>Assumptions!I19</f>
        <v>5</v>
      </c>
      <c r="J7" s="4">
        <f>Assumptions!J19</f>
        <v>6</v>
      </c>
      <c r="K7" s="4">
        <f>Assumptions!K19</f>
        <v>7</v>
      </c>
      <c r="L7" s="4">
        <f>Assumptions!L19</f>
        <v>8</v>
      </c>
      <c r="M7" s="4">
        <f>Assumptions!M19</f>
        <v>9</v>
      </c>
      <c r="N7" s="4">
        <f>Assumptions!N19</f>
        <v>10</v>
      </c>
      <c r="O7" s="4">
        <f>Assumptions!O19</f>
        <v>11</v>
      </c>
      <c r="P7" s="4">
        <f>Assumptions!P19</f>
        <v>12</v>
      </c>
      <c r="Q7" s="4">
        <f>Assumptions!Q19</f>
        <v>13</v>
      </c>
      <c r="R7" s="4">
        <f>Assumptions!R19</f>
        <v>14</v>
      </c>
      <c r="S7" s="4">
        <f>Assumptions!S19</f>
        <v>15</v>
      </c>
      <c r="T7" s="4">
        <f>Assumptions!T19</f>
        <v>16</v>
      </c>
      <c r="U7" s="4">
        <f>Assumptions!U19</f>
        <v>17</v>
      </c>
      <c r="V7" s="4">
        <f>Assumptions!V19</f>
        <v>18</v>
      </c>
      <c r="W7" s="4">
        <f>Assumptions!W19</f>
        <v>19</v>
      </c>
      <c r="X7" s="4">
        <f>Assumptions!X19</f>
        <v>20</v>
      </c>
    </row>
    <row r="8" spans="1:24" s="66" customFormat="1" ht="12.75" outlineLevel="1">
      <c r="A8" s="8"/>
      <c r="B8" s="8"/>
      <c r="C8" s="2"/>
      <c r="D8" s="2"/>
      <c r="E8" s="8"/>
      <c r="F8" s="8"/>
      <c r="G8" s="8"/>
      <c r="H8" s="8"/>
      <c r="I8" s="8"/>
      <c r="J8" s="8"/>
      <c r="K8" s="8"/>
      <c r="L8" s="8"/>
      <c r="M8" s="8"/>
      <c r="N8" s="8"/>
      <c r="O8" s="8"/>
      <c r="P8" s="8"/>
      <c r="Q8" s="8"/>
      <c r="R8" s="8"/>
      <c r="S8" s="8"/>
      <c r="T8" s="8"/>
      <c r="U8" s="8"/>
      <c r="V8" s="8"/>
      <c r="W8" s="8"/>
      <c r="X8" s="8"/>
    </row>
    <row r="9" spans="1:24" ht="12.75" outlineLevel="1">
      <c r="A9" s="1" t="s">
        <v>147</v>
      </c>
      <c r="B9" s="1"/>
      <c r="C9" s="1"/>
      <c r="D9" s="1"/>
      <c r="E9" s="176">
        <f>Revenues!E47</f>
        <v>16.75625</v>
      </c>
      <c r="F9" s="176">
        <f>Revenues!F47</f>
        <v>20.346875000000004</v>
      </c>
      <c r="G9" s="176">
        <f>Revenues!G47</f>
        <v>20.677953125000002</v>
      </c>
      <c r="H9" s="176">
        <f>Revenues!H47</f>
        <v>47.13244781245204</v>
      </c>
      <c r="I9" s="176">
        <f>Revenues!I47</f>
        <v>47.448455375616504</v>
      </c>
      <c r="J9" s="176">
        <f>Revenues!J47</f>
        <v>50.667377226554386</v>
      </c>
      <c r="K9" s="176">
        <f>Revenues!K47</f>
        <v>63.63723386513665</v>
      </c>
      <c r="L9" s="176">
        <f>Revenues!L47</f>
        <v>72.79013984107426</v>
      </c>
      <c r="M9" s="176">
        <f>Revenues!M47</f>
        <v>83.32102910658004</v>
      </c>
      <c r="N9" s="176">
        <f>Revenues!N47</f>
        <v>103.93444878296081</v>
      </c>
      <c r="O9" s="176">
        <f>Revenues!O47</f>
        <v>117.86465978940389</v>
      </c>
      <c r="P9" s="176">
        <f>Revenues!P47</f>
        <v>121.43013999879868</v>
      </c>
      <c r="Q9" s="176">
        <f>Revenues!Q47</f>
        <v>149.88820081029678</v>
      </c>
      <c r="R9" s="176">
        <f>Revenues!R47</f>
        <v>182.79737066238297</v>
      </c>
      <c r="S9" s="176">
        <f>Revenues!S47</f>
        <v>188.20228446876644</v>
      </c>
      <c r="T9" s="176">
        <f>Revenues!T47</f>
        <v>234.13578271615086</v>
      </c>
      <c r="U9" s="176">
        <f>Revenues!U47</f>
        <v>240.99413444841352</v>
      </c>
      <c r="V9" s="176">
        <f>Revenues!V47</f>
        <v>248.0700998320485</v>
      </c>
      <c r="W9" s="176">
        <f>Revenues!W47</f>
        <v>307.6234299757716</v>
      </c>
      <c r="X9" s="176">
        <f>Revenues!X47</f>
        <v>316.5805435377122</v>
      </c>
    </row>
    <row r="10" spans="1:24" ht="12.75" outlineLevel="1">
      <c r="A10" s="1" t="s">
        <v>431</v>
      </c>
      <c r="B10" s="1"/>
      <c r="C10" s="1"/>
      <c r="D10" s="1"/>
      <c r="E10" s="14">
        <f>Assumptions!E8*Assumptions!$B$8</f>
        <v>63</v>
      </c>
      <c r="F10" s="14">
        <f>Assumptions!F8*Assumptions!$B$8</f>
        <v>66.78</v>
      </c>
      <c r="G10" s="14">
        <f>Assumptions!G8*Assumptions!$B$8</f>
        <v>70.7868</v>
      </c>
      <c r="H10" s="14">
        <f>Assumptions!H8*Assumptions!$B$8</f>
        <v>75.034008</v>
      </c>
      <c r="I10" s="14">
        <f>Assumptions!I8*Assumptions!$B$8</f>
        <v>79.53604848</v>
      </c>
      <c r="J10" s="14">
        <f>Assumptions!J8*Assumptions!$B$8</f>
        <v>84.3082113888</v>
      </c>
      <c r="K10" s="14">
        <f>Assumptions!K8*Assumptions!$B$8</f>
        <v>89.366704072128</v>
      </c>
      <c r="L10" s="14">
        <f>Assumptions!L8*Assumptions!$B$8</f>
        <v>94.72870631645569</v>
      </c>
      <c r="M10" s="14">
        <f>Assumptions!M8*Assumptions!$B$8</f>
        <v>100.41242869544303</v>
      </c>
      <c r="N10" s="14">
        <f>Assumptions!N8*Assumptions!$B$8</f>
        <v>106.43717441716962</v>
      </c>
      <c r="O10" s="14">
        <f>Assumptions!O8*Assumptions!$B$8</f>
        <v>112.8234048821998</v>
      </c>
      <c r="P10" s="14">
        <f>Assumptions!P8*Assumptions!$B$8</f>
        <v>119.59280917513179</v>
      </c>
      <c r="Q10" s="14">
        <f>Assumptions!Q8*Assumptions!$B$8</f>
        <v>126.76837772563971</v>
      </c>
      <c r="R10" s="14">
        <f>Assumptions!R8*Assumptions!$B$8</f>
        <v>134.3744803891781</v>
      </c>
      <c r="S10" s="14">
        <f>Assumptions!S8*Assumptions!$B$8</f>
        <v>142.4369492125288</v>
      </c>
      <c r="T10" s="14">
        <f>Assumptions!T8*Assumptions!$B$8</f>
        <v>150.98316616528052</v>
      </c>
      <c r="U10" s="14">
        <f>Assumptions!U8*Assumptions!$B$8</f>
        <v>160.04215613519736</v>
      </c>
      <c r="V10" s="14">
        <f>Assumptions!V8*Assumptions!$B$8</f>
        <v>169.6446855033092</v>
      </c>
      <c r="W10" s="14">
        <f>Assumptions!W8*Assumptions!$B$8</f>
        <v>179.82336663350776</v>
      </c>
      <c r="X10" s="14">
        <f>Assumptions!X8*Assumptions!$B$8</f>
        <v>190.61276863151824</v>
      </c>
    </row>
    <row r="11" spans="1:24" s="69" customFormat="1" ht="12.75" outlineLevel="1">
      <c r="A11" s="17" t="s">
        <v>27</v>
      </c>
      <c r="B11" s="17"/>
      <c r="C11" s="17"/>
      <c r="D11" s="17"/>
      <c r="E11" s="18">
        <f>SUM(E9:E10)</f>
        <v>79.75625</v>
      </c>
      <c r="F11" s="18">
        <f aca="true" t="shared" si="0" ref="F11:X11">SUM(F9:F10)</f>
        <v>87.12687500000001</v>
      </c>
      <c r="G11" s="18">
        <f t="shared" si="0"/>
        <v>91.464753125</v>
      </c>
      <c r="H11" s="18">
        <f t="shared" si="0"/>
        <v>122.16645581245204</v>
      </c>
      <c r="I11" s="18">
        <f t="shared" si="0"/>
        <v>126.98450385561651</v>
      </c>
      <c r="J11" s="18">
        <f t="shared" si="0"/>
        <v>134.97558861535438</v>
      </c>
      <c r="K11" s="18">
        <f t="shared" si="0"/>
        <v>153.00393793726465</v>
      </c>
      <c r="L11" s="18">
        <f t="shared" si="0"/>
        <v>167.51884615752994</v>
      </c>
      <c r="M11" s="18">
        <f t="shared" si="0"/>
        <v>183.73345780202305</v>
      </c>
      <c r="N11" s="18">
        <f t="shared" si="0"/>
        <v>210.37162320013044</v>
      </c>
      <c r="O11" s="18">
        <f t="shared" si="0"/>
        <v>230.68806467160368</v>
      </c>
      <c r="P11" s="18">
        <f t="shared" si="0"/>
        <v>241.02294917393047</v>
      </c>
      <c r="Q11" s="18">
        <f t="shared" si="0"/>
        <v>276.6565785359365</v>
      </c>
      <c r="R11" s="18">
        <f t="shared" si="0"/>
        <v>317.1718510515611</v>
      </c>
      <c r="S11" s="18">
        <f t="shared" si="0"/>
        <v>330.6392336812952</v>
      </c>
      <c r="T11" s="18">
        <f t="shared" si="0"/>
        <v>385.1189488814314</v>
      </c>
      <c r="U11" s="18">
        <f t="shared" si="0"/>
        <v>401.0362905836109</v>
      </c>
      <c r="V11" s="18">
        <f t="shared" si="0"/>
        <v>417.7147853353577</v>
      </c>
      <c r="W11" s="18">
        <f t="shared" si="0"/>
        <v>487.4467966092794</v>
      </c>
      <c r="X11" s="18">
        <f t="shared" si="0"/>
        <v>507.1933121692304</v>
      </c>
    </row>
    <row r="12" spans="1:24" s="69" customFormat="1" ht="12.75" outlineLevel="1">
      <c r="A12" s="30"/>
      <c r="B12" s="30"/>
      <c r="C12" s="30"/>
      <c r="D12" s="30"/>
      <c r="E12" s="30"/>
      <c r="F12" s="64"/>
      <c r="G12" s="64"/>
      <c r="H12" s="64"/>
      <c r="I12" s="64"/>
      <c r="J12" s="64"/>
      <c r="K12" s="64"/>
      <c r="L12" s="64"/>
      <c r="M12" s="64"/>
      <c r="N12" s="64"/>
      <c r="O12" s="64"/>
      <c r="P12" s="64"/>
      <c r="Q12" s="64"/>
      <c r="R12" s="64"/>
      <c r="S12" s="64"/>
      <c r="T12" s="64"/>
      <c r="U12" s="64"/>
      <c r="V12" s="64"/>
      <c r="W12" s="64"/>
      <c r="X12" s="64"/>
    </row>
    <row r="13" spans="1:24" ht="12.75" outlineLevel="1">
      <c r="A13" s="128" t="s">
        <v>148</v>
      </c>
      <c r="B13" s="16"/>
      <c r="C13" s="1"/>
      <c r="D13" s="1"/>
      <c r="E13" s="1"/>
      <c r="F13" s="1"/>
      <c r="G13" s="1"/>
      <c r="H13" s="1"/>
      <c r="I13" s="1"/>
      <c r="J13" s="1"/>
      <c r="K13" s="1"/>
      <c r="L13" s="1"/>
      <c r="M13" s="1"/>
      <c r="N13" s="1"/>
      <c r="O13" s="1"/>
      <c r="P13" s="1"/>
      <c r="Q13" s="1"/>
      <c r="R13" s="1"/>
      <c r="S13" s="1"/>
      <c r="T13" s="1"/>
      <c r="U13" s="1"/>
      <c r="V13" s="1"/>
      <c r="W13" s="1"/>
      <c r="X13" s="1"/>
    </row>
    <row r="14" spans="1:24" ht="12.75" outlineLevel="1">
      <c r="A14" s="1" t="s">
        <v>6</v>
      </c>
      <c r="B14" s="1"/>
      <c r="C14" s="1"/>
      <c r="D14" s="1"/>
      <c r="E14" s="14">
        <f>Assumptions!E186</f>
        <v>56.559108099189274</v>
      </c>
      <c r="F14" s="14">
        <f>Assumptions!F186</f>
        <v>61.959491050466994</v>
      </c>
      <c r="G14" s="14">
        <f>Assumptions!G186</f>
        <v>70.37066617887643</v>
      </c>
      <c r="H14" s="14">
        <f>Assumptions!H186</f>
        <v>42.861909281023884</v>
      </c>
      <c r="I14" s="14">
        <f>Assumptions!I186</f>
        <v>45.161550418018386</v>
      </c>
      <c r="J14" s="14">
        <f>Assumptions!J186</f>
        <v>47.71779888619953</v>
      </c>
      <c r="K14" s="14">
        <f>Assumptions!K186</f>
        <v>50.201931597934546</v>
      </c>
      <c r="L14" s="14">
        <f>Assumptions!L186</f>
        <v>53.157322633538925</v>
      </c>
      <c r="M14" s="14">
        <f>Assumptions!M186</f>
        <v>55.99467151401522</v>
      </c>
      <c r="N14" s="14">
        <f>Assumptions!N186</f>
        <v>71.63910153780611</v>
      </c>
      <c r="O14" s="14">
        <f>Assumptions!O186</f>
        <v>75.29325895314243</v>
      </c>
      <c r="P14" s="14">
        <f>Assumptions!P186</f>
        <v>79.15961018322048</v>
      </c>
      <c r="Q14" s="14">
        <f>Assumptions!Q186</f>
        <v>83.31052869405411</v>
      </c>
      <c r="R14" s="14">
        <f>Assumptions!R186</f>
        <v>88.08343371167769</v>
      </c>
      <c r="S14" s="14">
        <f>Assumptions!S186</f>
        <v>92.46777755237723</v>
      </c>
      <c r="T14" s="14">
        <f>Assumptions!T186</f>
        <v>97.301684039886</v>
      </c>
      <c r="U14" s="14">
        <f>Assumptions!U186</f>
        <v>102.05458633185165</v>
      </c>
      <c r="V14" s="14">
        <f>Assumptions!V186</f>
        <v>107.83248336488873</v>
      </c>
      <c r="W14" s="14">
        <f>Assumptions!W186</f>
        <v>114.36271496774705</v>
      </c>
      <c r="X14" s="14">
        <f>Assumptions!X186</f>
        <v>121.44362161632847</v>
      </c>
    </row>
    <row r="15" spans="1:24" ht="12.75" outlineLevel="1">
      <c r="A15" s="1"/>
      <c r="B15" s="1"/>
      <c r="C15" s="20"/>
      <c r="D15" s="1"/>
      <c r="E15" s="14"/>
      <c r="F15" s="14"/>
      <c r="G15" s="14"/>
      <c r="H15" s="14"/>
      <c r="I15" s="14"/>
      <c r="J15" s="14"/>
      <c r="K15" s="14"/>
      <c r="L15" s="14"/>
      <c r="M15" s="14"/>
      <c r="N15" s="14"/>
      <c r="O15" s="14"/>
      <c r="P15" s="14"/>
      <c r="Q15" s="14"/>
      <c r="R15" s="14"/>
      <c r="S15" s="14"/>
      <c r="T15" s="14"/>
      <c r="U15" s="14"/>
      <c r="V15" s="14"/>
      <c r="W15" s="14"/>
      <c r="X15" s="14"/>
    </row>
    <row r="16" spans="1:24" ht="12.75" outlineLevel="1">
      <c r="A16" s="17" t="s">
        <v>149</v>
      </c>
      <c r="B16" s="17"/>
      <c r="C16" s="24"/>
      <c r="D16" s="17"/>
      <c r="E16" s="18">
        <f aca="true" t="shared" si="1" ref="E16:X16">SUM(E14:E15)</f>
        <v>56.559108099189274</v>
      </c>
      <c r="F16" s="18">
        <f t="shared" si="1"/>
        <v>61.959491050466994</v>
      </c>
      <c r="G16" s="18">
        <f t="shared" si="1"/>
        <v>70.37066617887643</v>
      </c>
      <c r="H16" s="18">
        <f t="shared" si="1"/>
        <v>42.861909281023884</v>
      </c>
      <c r="I16" s="18">
        <f t="shared" si="1"/>
        <v>45.161550418018386</v>
      </c>
      <c r="J16" s="18">
        <f t="shared" si="1"/>
        <v>47.71779888619953</v>
      </c>
      <c r="K16" s="18">
        <f t="shared" si="1"/>
        <v>50.201931597934546</v>
      </c>
      <c r="L16" s="18">
        <f t="shared" si="1"/>
        <v>53.157322633538925</v>
      </c>
      <c r="M16" s="18">
        <f t="shared" si="1"/>
        <v>55.99467151401522</v>
      </c>
      <c r="N16" s="18">
        <f t="shared" si="1"/>
        <v>71.63910153780611</v>
      </c>
      <c r="O16" s="18">
        <f t="shared" si="1"/>
        <v>75.29325895314243</v>
      </c>
      <c r="P16" s="18">
        <f t="shared" si="1"/>
        <v>79.15961018322048</v>
      </c>
      <c r="Q16" s="18">
        <f t="shared" si="1"/>
        <v>83.31052869405411</v>
      </c>
      <c r="R16" s="18">
        <f t="shared" si="1"/>
        <v>88.08343371167769</v>
      </c>
      <c r="S16" s="18">
        <f t="shared" si="1"/>
        <v>92.46777755237723</v>
      </c>
      <c r="T16" s="18">
        <f t="shared" si="1"/>
        <v>97.301684039886</v>
      </c>
      <c r="U16" s="18">
        <f t="shared" si="1"/>
        <v>102.05458633185165</v>
      </c>
      <c r="V16" s="18">
        <f t="shared" si="1"/>
        <v>107.83248336488873</v>
      </c>
      <c r="W16" s="18">
        <f t="shared" si="1"/>
        <v>114.36271496774705</v>
      </c>
      <c r="X16" s="18">
        <f t="shared" si="1"/>
        <v>121.44362161632847</v>
      </c>
    </row>
    <row r="17" spans="1:24" ht="12.75" outlineLevel="1">
      <c r="A17" s="1"/>
      <c r="B17" s="1"/>
      <c r="C17" s="1"/>
      <c r="D17" s="1"/>
      <c r="E17" s="1"/>
      <c r="F17" s="1"/>
      <c r="G17" s="1"/>
      <c r="H17" s="1"/>
      <c r="I17" s="1"/>
      <c r="J17" s="1"/>
      <c r="K17" s="1"/>
      <c r="L17" s="1"/>
      <c r="M17" s="1"/>
      <c r="N17" s="1"/>
      <c r="O17" s="1"/>
      <c r="P17" s="1"/>
      <c r="Q17" s="1"/>
      <c r="R17" s="1"/>
      <c r="S17" s="1"/>
      <c r="T17" s="1"/>
      <c r="U17" s="1"/>
      <c r="V17" s="1"/>
      <c r="W17" s="1"/>
      <c r="X17" s="1"/>
    </row>
    <row r="18" spans="1:24" ht="12.75" outlineLevel="1">
      <c r="A18" s="17" t="s">
        <v>154</v>
      </c>
      <c r="B18" s="17"/>
      <c r="C18" s="33"/>
      <c r="D18" s="33"/>
      <c r="E18" s="34">
        <f aca="true" t="shared" si="2" ref="E18:X18">E11-E16</f>
        <v>23.19714190081072</v>
      </c>
      <c r="F18" s="34">
        <f t="shared" si="2"/>
        <v>25.16738394953302</v>
      </c>
      <c r="G18" s="34">
        <f t="shared" si="2"/>
        <v>21.094086946123568</v>
      </c>
      <c r="H18" s="34">
        <f t="shared" si="2"/>
        <v>79.30454653142816</v>
      </c>
      <c r="I18" s="34">
        <f t="shared" si="2"/>
        <v>81.82295343759813</v>
      </c>
      <c r="J18" s="34">
        <f t="shared" si="2"/>
        <v>87.25778972915485</v>
      </c>
      <c r="K18" s="34">
        <f t="shared" si="2"/>
        <v>102.8020063393301</v>
      </c>
      <c r="L18" s="34">
        <f t="shared" si="2"/>
        <v>114.36152352399101</v>
      </c>
      <c r="M18" s="34">
        <f t="shared" si="2"/>
        <v>127.73878628800784</v>
      </c>
      <c r="N18" s="34">
        <f t="shared" si="2"/>
        <v>138.73252166232433</v>
      </c>
      <c r="O18" s="34">
        <f t="shared" si="2"/>
        <v>155.39480571846127</v>
      </c>
      <c r="P18" s="34">
        <f t="shared" si="2"/>
        <v>161.86333899071</v>
      </c>
      <c r="Q18" s="34">
        <f t="shared" si="2"/>
        <v>193.34604984188238</v>
      </c>
      <c r="R18" s="34">
        <f t="shared" si="2"/>
        <v>229.0884173398834</v>
      </c>
      <c r="S18" s="34">
        <f t="shared" si="2"/>
        <v>238.17145612891795</v>
      </c>
      <c r="T18" s="34">
        <f t="shared" si="2"/>
        <v>287.81726484154535</v>
      </c>
      <c r="U18" s="34">
        <f t="shared" si="2"/>
        <v>298.9817042517592</v>
      </c>
      <c r="V18" s="34">
        <f t="shared" si="2"/>
        <v>309.882301970469</v>
      </c>
      <c r="W18" s="34">
        <f t="shared" si="2"/>
        <v>373.0840816415323</v>
      </c>
      <c r="X18" s="34">
        <f t="shared" si="2"/>
        <v>385.74969055290194</v>
      </c>
    </row>
    <row r="19" spans="1:24" s="129" customFormat="1" ht="12.75" outlineLevel="1">
      <c r="A19" s="177" t="s">
        <v>155</v>
      </c>
      <c r="B19" s="177"/>
      <c r="C19" s="128"/>
      <c r="D19" s="128"/>
      <c r="E19" s="178">
        <f aca="true" t="shared" si="3" ref="E19:X19">E18/E11</f>
        <v>0.29085045875164295</v>
      </c>
      <c r="F19" s="178">
        <f t="shared" si="3"/>
        <v>0.2888590225407834</v>
      </c>
      <c r="G19" s="178">
        <f t="shared" si="3"/>
        <v>0.23062530893507582</v>
      </c>
      <c r="H19" s="178">
        <f t="shared" si="3"/>
        <v>0.6491515695042771</v>
      </c>
      <c r="I19" s="178">
        <f t="shared" si="3"/>
        <v>0.6443538459671598</v>
      </c>
      <c r="J19" s="178">
        <f t="shared" si="3"/>
        <v>0.6464708961397239</v>
      </c>
      <c r="K19" s="178">
        <f t="shared" si="3"/>
        <v>0.6718912449265289</v>
      </c>
      <c r="L19" s="178">
        <f t="shared" si="3"/>
        <v>0.68267855317275</v>
      </c>
      <c r="M19" s="178">
        <f t="shared" si="3"/>
        <v>0.6952396575785846</v>
      </c>
      <c r="N19" s="178">
        <f t="shared" si="3"/>
        <v>0.6594640453496216</v>
      </c>
      <c r="O19" s="178">
        <f t="shared" si="3"/>
        <v>0.6736144149445866</v>
      </c>
      <c r="P19" s="178">
        <f t="shared" si="3"/>
        <v>0.671568162058725</v>
      </c>
      <c r="Q19" s="178">
        <f t="shared" si="3"/>
        <v>0.6988666268666645</v>
      </c>
      <c r="R19" s="178">
        <f t="shared" si="3"/>
        <v>0.722284832592668</v>
      </c>
      <c r="S19" s="178">
        <f t="shared" si="3"/>
        <v>0.7203363420521735</v>
      </c>
      <c r="T19" s="178">
        <f t="shared" si="3"/>
        <v>0.747346412523984</v>
      </c>
      <c r="U19" s="178">
        <f t="shared" si="3"/>
        <v>0.7455228149469066</v>
      </c>
      <c r="V19" s="178">
        <f t="shared" si="3"/>
        <v>0.7418514087828694</v>
      </c>
      <c r="W19" s="178">
        <f t="shared" si="3"/>
        <v>0.7653842106189565</v>
      </c>
      <c r="X19" s="178">
        <f t="shared" si="3"/>
        <v>0.7605575256958287</v>
      </c>
    </row>
    <row r="20" spans="1:24" ht="12.75" outlineLevel="1">
      <c r="A20" s="1" t="s">
        <v>29</v>
      </c>
      <c r="B20" s="1"/>
      <c r="C20" s="1"/>
      <c r="D20" s="1"/>
      <c r="E20" s="14">
        <f>Depreciation!E26</f>
        <v>14.33145367912083</v>
      </c>
      <c r="F20" s="14">
        <f>Depreciation!F26</f>
        <v>30.41766978723127</v>
      </c>
      <c r="G20" s="14">
        <f>Depreciation!G26</f>
        <v>34.22292561961111</v>
      </c>
      <c r="H20" s="14">
        <f>Depreciation!H26</f>
        <v>34.47292561961111</v>
      </c>
      <c r="I20" s="14">
        <f>Depreciation!I26</f>
        <v>34.72292561961111</v>
      </c>
      <c r="J20" s="14">
        <f>Depreciation!J26</f>
        <v>34.97292561961111</v>
      </c>
      <c r="K20" s="14">
        <f>Depreciation!K26</f>
        <v>35.47292561961111</v>
      </c>
      <c r="L20" s="14">
        <f>Depreciation!L26</f>
        <v>35.99792561961111</v>
      </c>
      <c r="M20" s="14">
        <f>Depreciation!M26</f>
        <v>36.549175619611106</v>
      </c>
      <c r="N20" s="14">
        <f>Depreciation!N26</f>
        <v>37.1279881196111</v>
      </c>
      <c r="O20" s="14">
        <f>Depreciation!O26</f>
        <v>37.735741244611106</v>
      </c>
      <c r="P20" s="14">
        <f>Depreciation!P26</f>
        <v>38.37388202586111</v>
      </c>
      <c r="Q20" s="14">
        <f>Depreciation!Q26</f>
        <v>39.043929846173604</v>
      </c>
      <c r="R20" s="14">
        <f>Depreciation!R26</f>
        <v>39.74748005750173</v>
      </c>
      <c r="S20" s="14">
        <f>Depreciation!S26</f>
        <v>40.48620777939627</v>
      </c>
      <c r="T20" s="14">
        <f>Depreciation!T26</f>
        <v>41.261871887385524</v>
      </c>
      <c r="U20" s="14">
        <f>Depreciation!U26</f>
        <v>42.07631920077424</v>
      </c>
      <c r="V20" s="14">
        <f>Depreciation!V26</f>
        <v>42.9314888798324</v>
      </c>
      <c r="W20" s="14">
        <f>Depreciation!W26</f>
        <v>43.82941704284347</v>
      </c>
      <c r="X20" s="14">
        <f>Depreciation!X26</f>
        <v>44.77224161400508</v>
      </c>
    </row>
    <row r="21" spans="1:24" ht="12.75" outlineLevel="1">
      <c r="A21" s="1"/>
      <c r="B21" s="1"/>
      <c r="C21" s="1"/>
      <c r="D21" s="1"/>
      <c r="E21" s="1"/>
      <c r="F21" s="1"/>
      <c r="G21" s="1"/>
      <c r="H21" s="1"/>
      <c r="I21" s="1"/>
      <c r="J21" s="1"/>
      <c r="K21" s="1"/>
      <c r="L21" s="1"/>
      <c r="M21" s="1"/>
      <c r="N21" s="1"/>
      <c r="O21" s="1"/>
      <c r="P21" s="1"/>
      <c r="Q21" s="1"/>
      <c r="R21" s="1"/>
      <c r="S21" s="1"/>
      <c r="T21" s="1"/>
      <c r="U21" s="1"/>
      <c r="V21" s="1"/>
      <c r="W21" s="1"/>
      <c r="X21" s="1"/>
    </row>
    <row r="22" spans="1:24" s="69" customFormat="1" ht="12.75" outlineLevel="1">
      <c r="A22" s="17" t="s">
        <v>30</v>
      </c>
      <c r="B22" s="17"/>
      <c r="C22" s="17"/>
      <c r="D22" s="17"/>
      <c r="E22" s="18">
        <f>E18-E20</f>
        <v>8.86568822168989</v>
      </c>
      <c r="F22" s="18">
        <f aca="true" t="shared" si="4" ref="F22:X22">F18-F20</f>
        <v>-5.25028583769825</v>
      </c>
      <c r="G22" s="18">
        <f t="shared" si="4"/>
        <v>-13.128838673487543</v>
      </c>
      <c r="H22" s="18">
        <f t="shared" si="4"/>
        <v>44.83162091181705</v>
      </c>
      <c r="I22" s="18">
        <f t="shared" si="4"/>
        <v>47.10002781798702</v>
      </c>
      <c r="J22" s="18">
        <f t="shared" si="4"/>
        <v>52.28486410954374</v>
      </c>
      <c r="K22" s="18">
        <f t="shared" si="4"/>
        <v>67.329080719719</v>
      </c>
      <c r="L22" s="18">
        <f t="shared" si="4"/>
        <v>78.3635979043799</v>
      </c>
      <c r="M22" s="18">
        <f t="shared" si="4"/>
        <v>91.18961066839674</v>
      </c>
      <c r="N22" s="18">
        <f t="shared" si="4"/>
        <v>101.60453354271323</v>
      </c>
      <c r="O22" s="18">
        <f t="shared" si="4"/>
        <v>117.65906447385017</v>
      </c>
      <c r="P22" s="18">
        <f t="shared" si="4"/>
        <v>123.48945696484888</v>
      </c>
      <c r="Q22" s="18">
        <f t="shared" si="4"/>
        <v>154.30211999570878</v>
      </c>
      <c r="R22" s="18">
        <f t="shared" si="4"/>
        <v>189.34093728238167</v>
      </c>
      <c r="S22" s="18">
        <f t="shared" si="4"/>
        <v>197.6852483495217</v>
      </c>
      <c r="T22" s="18">
        <f t="shared" si="4"/>
        <v>246.55539295415983</v>
      </c>
      <c r="U22" s="18">
        <f t="shared" si="4"/>
        <v>256.90538505098493</v>
      </c>
      <c r="V22" s="18">
        <f t="shared" si="4"/>
        <v>266.9508130906366</v>
      </c>
      <c r="W22" s="18">
        <f t="shared" si="4"/>
        <v>329.2546645986888</v>
      </c>
      <c r="X22" s="18">
        <f t="shared" si="4"/>
        <v>340.9774489388968</v>
      </c>
    </row>
    <row r="23" spans="1:24" ht="12.75" outlineLevel="1">
      <c r="A23" s="1"/>
      <c r="B23" s="1"/>
      <c r="C23" s="1"/>
      <c r="D23" s="1"/>
      <c r="E23" s="1"/>
      <c r="F23" s="1"/>
      <c r="G23" s="1"/>
      <c r="H23" s="1"/>
      <c r="I23" s="1"/>
      <c r="J23" s="1"/>
      <c r="K23" s="1"/>
      <c r="L23" s="1"/>
      <c r="M23" s="1"/>
      <c r="N23" s="1"/>
      <c r="O23" s="1"/>
      <c r="P23" s="1"/>
      <c r="Q23" s="1"/>
      <c r="R23" s="1"/>
      <c r="S23" s="1"/>
      <c r="T23" s="1"/>
      <c r="U23" s="1"/>
      <c r="V23" s="1"/>
      <c r="W23" s="1"/>
      <c r="X23" s="1"/>
    </row>
    <row r="24" spans="1:24" ht="12.75" outlineLevel="1">
      <c r="A24" s="1" t="s">
        <v>31</v>
      </c>
      <c r="B24" s="1"/>
      <c r="C24" s="1"/>
      <c r="D24" s="1"/>
      <c r="E24" s="38">
        <v>0</v>
      </c>
      <c r="F24" s="38">
        <v>0</v>
      </c>
      <c r="G24" s="38">
        <v>0</v>
      </c>
      <c r="H24" s="38">
        <f>'Term Loan'!I30</f>
        <v>45.44822934772802</v>
      </c>
      <c r="I24" s="38">
        <f>'Term Loan'!I35</f>
        <v>40.101378836230595</v>
      </c>
      <c r="J24" s="38">
        <f>'Term Loan'!I40</f>
        <v>34.75452832473317</v>
      </c>
      <c r="K24" s="38">
        <f>'Term Loan'!I45</f>
        <v>29.407677813235757</v>
      </c>
      <c r="L24" s="38">
        <f>'Term Loan'!I50</f>
        <v>24.06082730173835</v>
      </c>
      <c r="M24" s="38">
        <f>'Term Loan'!I55</f>
        <v>18.71397679024094</v>
      </c>
      <c r="N24" s="38">
        <f>'Term Loan'!I60</f>
        <v>13.36712627874353</v>
      </c>
      <c r="O24" s="38">
        <f>'Term Loan'!I65</f>
        <v>8.020275767246115</v>
      </c>
      <c r="P24" s="38">
        <f>'Term Loan'!I70</f>
        <v>2.6734252557487017</v>
      </c>
      <c r="Q24" s="38">
        <f>'Term Loan'!I75</f>
        <v>0</v>
      </c>
      <c r="R24" s="38">
        <f>'Term Loan'!I80</f>
        <v>0</v>
      </c>
      <c r="S24" s="38">
        <f>'Term Loan'!I85</f>
        <v>0</v>
      </c>
      <c r="T24" s="38">
        <f>'Term Loan'!I110</f>
        <v>0</v>
      </c>
      <c r="U24" s="38">
        <f>'Term Loan'!I115</f>
        <v>0</v>
      </c>
      <c r="V24" s="38">
        <v>0</v>
      </c>
      <c r="W24" s="38">
        <v>0</v>
      </c>
      <c r="X24" s="38">
        <v>0</v>
      </c>
    </row>
    <row r="25" spans="1:24" ht="12.75" outlineLevel="1">
      <c r="A25" s="1" t="s">
        <v>32</v>
      </c>
      <c r="B25" s="1"/>
      <c r="C25" s="1"/>
      <c r="D25" s="1"/>
      <c r="E25" s="32">
        <f>WC!E17</f>
        <v>0</v>
      </c>
      <c r="F25" s="32">
        <f>WC!F17</f>
        <v>0</v>
      </c>
      <c r="G25" s="32">
        <f>WC!G17</f>
        <v>0</v>
      </c>
      <c r="H25" s="32">
        <f>WC!H17</f>
        <v>0.10585515112484031</v>
      </c>
      <c r="I25" s="32">
        <f>WC!I17</f>
        <v>0.08560376957864774</v>
      </c>
      <c r="J25" s="32">
        <f>WC!J17</f>
        <v>0.09669792180910577</v>
      </c>
      <c r="K25" s="32">
        <f>WC!K17</f>
        <v>0.22281204687858538</v>
      </c>
      <c r="L25" s="32">
        <f>WC!L17</f>
        <v>0.29928734049655853</v>
      </c>
      <c r="M25" s="32">
        <f>WC!M17</f>
        <v>0.39314048157174303</v>
      </c>
      <c r="N25" s="32">
        <f>WC!N17</f>
        <v>0.47174118065650833</v>
      </c>
      <c r="O25" s="32">
        <f>WC!O17</f>
        <v>0.5969217011451764</v>
      </c>
      <c r="P25" s="32">
        <f>WC!P17</f>
        <v>0.5984301803690422</v>
      </c>
      <c r="Q25" s="32">
        <f>WC!Q17</f>
        <v>0.888684346015935</v>
      </c>
      <c r="R25" s="32">
        <f>WC!R17</f>
        <v>1.2246209196198246</v>
      </c>
      <c r="S25" s="32">
        <f>WC!S17</f>
        <v>1.2422895049477605</v>
      </c>
      <c r="T25" s="32">
        <f>WC!T17</f>
        <v>1.73021949495608</v>
      </c>
      <c r="U25" s="32">
        <f>WC!U17</f>
        <v>1.7610814054438912</v>
      </c>
      <c r="V25" s="32">
        <f>WC!V17</f>
        <v>1.783816447355894</v>
      </c>
      <c r="W25" s="32">
        <f>WC!W17</f>
        <v>2.4136837891145415</v>
      </c>
      <c r="X25" s="32">
        <f>WC!X17</f>
        <v>2.4448905194124766</v>
      </c>
    </row>
    <row r="26" spans="1:24" ht="12.75" outlineLevel="1">
      <c r="A26" s="35" t="s">
        <v>33</v>
      </c>
      <c r="B26" s="35"/>
      <c r="C26" s="36"/>
      <c r="D26" s="36"/>
      <c r="E26" s="39">
        <f>SUM(E24:E25)</f>
        <v>0</v>
      </c>
      <c r="F26" s="39">
        <f aca="true" t="shared" si="5" ref="F26:X26">SUM(F24:F25)</f>
        <v>0</v>
      </c>
      <c r="G26" s="39">
        <f t="shared" si="5"/>
        <v>0</v>
      </c>
      <c r="H26" s="39">
        <f t="shared" si="5"/>
        <v>45.55408449885286</v>
      </c>
      <c r="I26" s="39">
        <f t="shared" si="5"/>
        <v>40.18698260580924</v>
      </c>
      <c r="J26" s="39">
        <f t="shared" si="5"/>
        <v>34.851226246542275</v>
      </c>
      <c r="K26" s="39">
        <f t="shared" si="5"/>
        <v>29.63048986011434</v>
      </c>
      <c r="L26" s="39">
        <f t="shared" si="5"/>
        <v>24.360114642234908</v>
      </c>
      <c r="M26" s="39">
        <f t="shared" si="5"/>
        <v>19.107117271812683</v>
      </c>
      <c r="N26" s="39">
        <f t="shared" si="5"/>
        <v>13.838867459400038</v>
      </c>
      <c r="O26" s="39">
        <f t="shared" si="5"/>
        <v>8.617197468391291</v>
      </c>
      <c r="P26" s="39">
        <f t="shared" si="5"/>
        <v>3.271855436117744</v>
      </c>
      <c r="Q26" s="39">
        <f t="shared" si="5"/>
        <v>0.888684346015935</v>
      </c>
      <c r="R26" s="39">
        <f t="shared" si="5"/>
        <v>1.2246209196198246</v>
      </c>
      <c r="S26" s="39">
        <f t="shared" si="5"/>
        <v>1.2422895049477605</v>
      </c>
      <c r="T26" s="39">
        <f t="shared" si="5"/>
        <v>1.73021949495608</v>
      </c>
      <c r="U26" s="39">
        <f t="shared" si="5"/>
        <v>1.7610814054438912</v>
      </c>
      <c r="V26" s="39">
        <f t="shared" si="5"/>
        <v>1.783816447355894</v>
      </c>
      <c r="W26" s="39">
        <f t="shared" si="5"/>
        <v>2.4136837891145415</v>
      </c>
      <c r="X26" s="39">
        <f t="shared" si="5"/>
        <v>2.4448905194124766</v>
      </c>
    </row>
    <row r="27" spans="1:24" ht="12.75" outlineLevel="1">
      <c r="A27" s="12"/>
      <c r="B27" s="12"/>
      <c r="C27" s="1"/>
      <c r="D27" s="1"/>
      <c r="E27" s="1"/>
      <c r="F27" s="1"/>
      <c r="G27" s="1"/>
      <c r="H27" s="1"/>
      <c r="I27" s="1"/>
      <c r="J27" s="1"/>
      <c r="K27" s="1"/>
      <c r="L27" s="1"/>
      <c r="M27" s="1"/>
      <c r="N27" s="1"/>
      <c r="O27" s="1"/>
      <c r="P27" s="1"/>
      <c r="Q27" s="1"/>
      <c r="R27" s="1"/>
      <c r="S27" s="1"/>
      <c r="T27" s="1"/>
      <c r="U27" s="1"/>
      <c r="V27" s="1"/>
      <c r="W27" s="1"/>
      <c r="X27" s="1"/>
    </row>
    <row r="28" spans="1:24" s="69" customFormat="1" ht="12.75" outlineLevel="1">
      <c r="A28" s="17" t="s">
        <v>34</v>
      </c>
      <c r="B28" s="17"/>
      <c r="C28" s="17"/>
      <c r="D28" s="17"/>
      <c r="E28" s="29">
        <f>E22-E26</f>
        <v>8.86568822168989</v>
      </c>
      <c r="F28" s="29">
        <f aca="true" t="shared" si="6" ref="F28:X28">F22-F26</f>
        <v>-5.25028583769825</v>
      </c>
      <c r="G28" s="29">
        <f t="shared" si="6"/>
        <v>-13.128838673487543</v>
      </c>
      <c r="H28" s="29">
        <f t="shared" si="6"/>
        <v>-0.7224635870358114</v>
      </c>
      <c r="I28" s="29">
        <f t="shared" si="6"/>
        <v>6.913045212177778</v>
      </c>
      <c r="J28" s="29">
        <f t="shared" si="6"/>
        <v>17.433637863001465</v>
      </c>
      <c r="K28" s="29">
        <f t="shared" si="6"/>
        <v>37.698590859604664</v>
      </c>
      <c r="L28" s="29">
        <f t="shared" si="6"/>
        <v>54.003483262145</v>
      </c>
      <c r="M28" s="29">
        <f t="shared" si="6"/>
        <v>72.08249339658406</v>
      </c>
      <c r="N28" s="29">
        <f t="shared" si="6"/>
        <v>87.76566608331319</v>
      </c>
      <c r="O28" s="29">
        <f t="shared" si="6"/>
        <v>109.04186700545887</v>
      </c>
      <c r="P28" s="29">
        <f t="shared" si="6"/>
        <v>120.21760152873114</v>
      </c>
      <c r="Q28" s="29">
        <f t="shared" si="6"/>
        <v>153.41343564969284</v>
      </c>
      <c r="R28" s="29">
        <f t="shared" si="6"/>
        <v>188.11631636276184</v>
      </c>
      <c r="S28" s="29">
        <f t="shared" si="6"/>
        <v>196.44295884457392</v>
      </c>
      <c r="T28" s="29">
        <f t="shared" si="6"/>
        <v>244.82517345920374</v>
      </c>
      <c r="U28" s="29">
        <f t="shared" si="6"/>
        <v>255.14430364554104</v>
      </c>
      <c r="V28" s="29">
        <f t="shared" si="6"/>
        <v>265.1669966432807</v>
      </c>
      <c r="W28" s="29">
        <f t="shared" si="6"/>
        <v>326.84098080957426</v>
      </c>
      <c r="X28" s="29">
        <f t="shared" si="6"/>
        <v>338.53255841948436</v>
      </c>
    </row>
    <row r="29" spans="1:24" ht="12.75" outlineLevel="1">
      <c r="A29" s="1"/>
      <c r="B29" s="1"/>
      <c r="C29" s="1"/>
      <c r="D29" s="1"/>
      <c r="E29" s="1"/>
      <c r="F29" s="1"/>
      <c r="G29" s="1"/>
      <c r="H29" s="1"/>
      <c r="I29" s="1"/>
      <c r="J29" s="1"/>
      <c r="K29" s="1"/>
      <c r="L29" s="1"/>
      <c r="M29" s="1"/>
      <c r="N29" s="1"/>
      <c r="O29" s="1"/>
      <c r="P29" s="1"/>
      <c r="Q29" s="1"/>
      <c r="R29" s="1"/>
      <c r="S29" s="1"/>
      <c r="T29" s="1"/>
      <c r="U29" s="1"/>
      <c r="V29" s="1"/>
      <c r="W29" s="1"/>
      <c r="X29" s="1"/>
    </row>
    <row r="30" spans="1:24" ht="12.75" outlineLevel="1">
      <c r="A30" s="1" t="s">
        <v>35</v>
      </c>
      <c r="B30" s="1"/>
      <c r="C30" s="1"/>
      <c r="D30" s="1"/>
      <c r="E30" s="40">
        <f>Tax!E26</f>
        <v>1.766931662582795</v>
      </c>
      <c r="F30" s="40">
        <f>Tax!F26</f>
        <v>0</v>
      </c>
      <c r="G30" s="40">
        <f>Tax!G26</f>
        <v>0</v>
      </c>
      <c r="H30" s="40">
        <f>Tax!H26</f>
        <v>0</v>
      </c>
      <c r="I30" s="40">
        <f>Tax!I26</f>
        <v>1.3777699107870311</v>
      </c>
      <c r="J30" s="40">
        <f>Tax!J26</f>
        <v>3.474524026096192</v>
      </c>
      <c r="K30" s="40">
        <f>Tax!K26</f>
        <v>7.51332915831921</v>
      </c>
      <c r="L30" s="40">
        <f>Tax!L26</f>
        <v>10.762894214145499</v>
      </c>
      <c r="M30" s="40">
        <f>Tax!M26</f>
        <v>16.02802740004383</v>
      </c>
      <c r="N30" s="40">
        <f>Tax!N26</f>
        <v>30.463803208540888</v>
      </c>
      <c r="O30" s="40">
        <f>Tax!O26</f>
        <v>21.732044094187952</v>
      </c>
      <c r="P30" s="40">
        <f>Tax!P26</f>
        <v>23.959367984676117</v>
      </c>
      <c r="Q30" s="40">
        <f>Tax!Q26</f>
        <v>30.575297724983784</v>
      </c>
      <c r="R30" s="40">
        <f>Tax!R26</f>
        <v>37.49158185109844</v>
      </c>
      <c r="S30" s="40">
        <f>Tax!S26</f>
        <v>39.15108169772358</v>
      </c>
      <c r="T30" s="40">
        <f>Tax!T26</f>
        <v>63.14646012703148</v>
      </c>
      <c r="U30" s="40">
        <f>Tax!U26</f>
        <v>91.0493688049393</v>
      </c>
      <c r="V30" s="40">
        <f>Tax!V26</f>
        <v>94.86872723862622</v>
      </c>
      <c r="W30" s="40">
        <f>Tax!W26</f>
        <v>115.80977875106994</v>
      </c>
      <c r="X30" s="40">
        <f>Tax!X26</f>
        <v>120.11445339691626</v>
      </c>
    </row>
    <row r="31" spans="1:24" ht="12.75" outlineLevel="1">
      <c r="A31" s="1"/>
      <c r="B31" s="1"/>
      <c r="C31" s="1"/>
      <c r="D31" s="1"/>
      <c r="E31" s="1"/>
      <c r="F31" s="1"/>
      <c r="G31" s="1"/>
      <c r="H31" s="1"/>
      <c r="I31" s="1"/>
      <c r="J31" s="1"/>
      <c r="K31" s="1"/>
      <c r="L31" s="1"/>
      <c r="M31" s="1"/>
      <c r="N31" s="1"/>
      <c r="O31" s="1"/>
      <c r="P31" s="1"/>
      <c r="Q31" s="1"/>
      <c r="R31" s="1"/>
      <c r="S31" s="1"/>
      <c r="T31" s="1"/>
      <c r="U31" s="1"/>
      <c r="V31" s="1"/>
      <c r="W31" s="1"/>
      <c r="X31" s="1"/>
    </row>
    <row r="32" spans="1:24" s="69" customFormat="1" ht="12.75" outlineLevel="1">
      <c r="A32" s="17" t="s">
        <v>36</v>
      </c>
      <c r="B32" s="17"/>
      <c r="C32" s="17"/>
      <c r="D32" s="17"/>
      <c r="E32" s="132">
        <f>E28-E30</f>
        <v>7.098756559107095</v>
      </c>
      <c r="F32" s="132">
        <f aca="true" t="shared" si="7" ref="F32:X32">F28-F30</f>
        <v>-5.25028583769825</v>
      </c>
      <c r="G32" s="132">
        <f t="shared" si="7"/>
        <v>-13.128838673487543</v>
      </c>
      <c r="H32" s="132">
        <f t="shared" si="7"/>
        <v>-0.7224635870358114</v>
      </c>
      <c r="I32" s="132">
        <f t="shared" si="7"/>
        <v>5.5352753013907465</v>
      </c>
      <c r="J32" s="132">
        <f t="shared" si="7"/>
        <v>13.959113836905273</v>
      </c>
      <c r="K32" s="132">
        <f t="shared" si="7"/>
        <v>30.185261701285455</v>
      </c>
      <c r="L32" s="132">
        <f t="shared" si="7"/>
        <v>43.2405890479995</v>
      </c>
      <c r="M32" s="132">
        <f t="shared" si="7"/>
        <v>56.05446599654023</v>
      </c>
      <c r="N32" s="132">
        <f t="shared" si="7"/>
        <v>57.301862874772304</v>
      </c>
      <c r="O32" s="132">
        <f t="shared" si="7"/>
        <v>87.30982291127091</v>
      </c>
      <c r="P32" s="132">
        <f t="shared" si="7"/>
        <v>96.25823354405502</v>
      </c>
      <c r="Q32" s="132">
        <f t="shared" si="7"/>
        <v>122.83813792470906</v>
      </c>
      <c r="R32" s="132">
        <f t="shared" si="7"/>
        <v>150.6247345116634</v>
      </c>
      <c r="S32" s="132">
        <f t="shared" si="7"/>
        <v>157.29187714685034</v>
      </c>
      <c r="T32" s="132">
        <f t="shared" si="7"/>
        <v>181.67871333217226</v>
      </c>
      <c r="U32" s="132">
        <f t="shared" si="7"/>
        <v>164.09493484060175</v>
      </c>
      <c r="V32" s="132">
        <f t="shared" si="7"/>
        <v>170.2982694046545</v>
      </c>
      <c r="W32" s="132">
        <f t="shared" si="7"/>
        <v>211.03120205850433</v>
      </c>
      <c r="X32" s="132">
        <f t="shared" si="7"/>
        <v>218.4181050225681</v>
      </c>
    </row>
    <row r="33" spans="1:24" s="129" customFormat="1" ht="12.75" outlineLevel="1">
      <c r="A33" s="177" t="s">
        <v>37</v>
      </c>
      <c r="B33" s="177"/>
      <c r="C33" s="128"/>
      <c r="D33" s="128"/>
      <c r="E33" s="178">
        <f aca="true" t="shared" si="8" ref="E33:X33">E32/E11</f>
        <v>0.08900564606669815</v>
      </c>
      <c r="F33" s="178">
        <f t="shared" si="8"/>
        <v>-0.060260233569702226</v>
      </c>
      <c r="G33" s="178">
        <f t="shared" si="8"/>
        <v>-0.1435398689104322</v>
      </c>
      <c r="H33" s="178">
        <f t="shared" si="8"/>
        <v>-0.005913763988904824</v>
      </c>
      <c r="I33" s="178">
        <f t="shared" si="8"/>
        <v>0.0435901636288192</v>
      </c>
      <c r="J33" s="178">
        <f t="shared" si="8"/>
        <v>0.10341954408278335</v>
      </c>
      <c r="K33" s="178">
        <f t="shared" si="8"/>
        <v>0.19728421443415495</v>
      </c>
      <c r="L33" s="178">
        <f t="shared" si="8"/>
        <v>0.25812372780634657</v>
      </c>
      <c r="M33" s="178">
        <f t="shared" si="8"/>
        <v>0.3050857838692623</v>
      </c>
      <c r="N33" s="178">
        <f t="shared" si="8"/>
        <v>0.2723839936352061</v>
      </c>
      <c r="O33" s="178">
        <f t="shared" si="8"/>
        <v>0.37847568332397663</v>
      </c>
      <c r="P33" s="178">
        <f t="shared" si="8"/>
        <v>0.3993737271656723</v>
      </c>
      <c r="Q33" s="178">
        <f t="shared" si="8"/>
        <v>0.4440094595789737</v>
      </c>
      <c r="R33" s="178">
        <f t="shared" si="8"/>
        <v>0.47489944020024993</v>
      </c>
      <c r="S33" s="178">
        <f t="shared" si="8"/>
        <v>0.475720547121957</v>
      </c>
      <c r="T33" s="178">
        <f t="shared" si="8"/>
        <v>0.4717470118254468</v>
      </c>
      <c r="U33" s="178">
        <f t="shared" si="8"/>
        <v>0.409177270719818</v>
      </c>
      <c r="V33" s="178">
        <f t="shared" si="8"/>
        <v>0.4076903077968198</v>
      </c>
      <c r="W33" s="178">
        <f t="shared" si="8"/>
        <v>0.4329317651207373</v>
      </c>
      <c r="X33" s="178">
        <f t="shared" si="8"/>
        <v>0.43064074344436665</v>
      </c>
    </row>
    <row r="36" spans="1:24" ht="12.75">
      <c r="A36" s="67"/>
      <c r="E36" s="166"/>
      <c r="F36" s="166"/>
      <c r="G36" s="166"/>
      <c r="H36" s="166"/>
      <c r="I36" s="166"/>
      <c r="J36" s="166"/>
      <c r="K36" s="166"/>
      <c r="L36" s="166"/>
      <c r="M36" s="166"/>
      <c r="N36" s="166"/>
      <c r="O36" s="166"/>
      <c r="P36" s="166"/>
      <c r="Q36" s="166"/>
      <c r="R36" s="166"/>
      <c r="S36" s="166"/>
      <c r="T36" s="166"/>
      <c r="U36" s="166"/>
      <c r="V36" s="166"/>
      <c r="W36" s="166"/>
      <c r="X36" s="166"/>
    </row>
    <row r="37" spans="6:24" ht="12.75">
      <c r="F37" s="165"/>
      <c r="G37" s="165"/>
      <c r="H37" s="165"/>
      <c r="I37" s="165"/>
      <c r="J37" s="165"/>
      <c r="K37" s="165"/>
      <c r="L37" s="165"/>
      <c r="M37" s="165"/>
      <c r="N37" s="165"/>
      <c r="O37" s="165"/>
      <c r="P37" s="165"/>
      <c r="Q37" s="165"/>
      <c r="R37" s="165"/>
      <c r="S37" s="165"/>
      <c r="T37" s="165"/>
      <c r="U37" s="165"/>
      <c r="V37" s="165"/>
      <c r="W37" s="165"/>
      <c r="X37" s="165"/>
    </row>
    <row r="39" spans="5:7" ht="12.75">
      <c r="E39" s="69"/>
      <c r="F39" s="69"/>
      <c r="G39" s="168"/>
    </row>
  </sheetData>
  <sheetProtection/>
  <printOptions horizontalCentered="1"/>
  <pageMargins left="0.17" right="0.16" top="0.75" bottom="0.75" header="0.3" footer="0.3"/>
  <pageSetup horizontalDpi="600" verticalDpi="600" orientation="landscape" paperSize="9" scale="85" r:id="rId3"/>
  <legacyDrawing r:id="rId2"/>
</worksheet>
</file>

<file path=xl/worksheets/sheet6.xml><?xml version="1.0" encoding="utf-8"?>
<worksheet xmlns="http://schemas.openxmlformats.org/spreadsheetml/2006/main" xmlns:r="http://schemas.openxmlformats.org/officeDocument/2006/relationships">
  <sheetPr codeName="Sheet14"/>
  <dimension ref="A1:X28"/>
  <sheetViews>
    <sheetView showGridLines="0" zoomScalePageLayoutView="0" workbookViewId="0" topLeftCell="A1">
      <selection activeCell="A1" sqref="A1"/>
    </sheetView>
  </sheetViews>
  <sheetFormatPr defaultColWidth="9.140625" defaultRowHeight="12.75" outlineLevelRow="1"/>
  <cols>
    <col min="1" max="1" width="35.57421875" style="0" bestFit="1" customWidth="1"/>
  </cols>
  <sheetData>
    <row r="1" spans="1:2" ht="15">
      <c r="A1" s="133" t="str">
        <f>Assumptions!A1</f>
        <v>AURANGABAD WATER SUPPLY PROJECT</v>
      </c>
      <c r="B1" s="134"/>
    </row>
    <row r="3" spans="1:24" ht="12.75">
      <c r="A3" s="3" t="s">
        <v>38</v>
      </c>
      <c r="B3" s="3"/>
      <c r="C3" s="1"/>
      <c r="D3" s="1"/>
      <c r="E3" s="1"/>
      <c r="F3" s="1"/>
      <c r="G3" s="1"/>
      <c r="H3" s="1"/>
      <c r="I3" s="1"/>
      <c r="J3" s="1"/>
      <c r="K3" s="1"/>
      <c r="L3" s="1"/>
      <c r="M3" s="1"/>
      <c r="N3" s="1"/>
      <c r="O3" s="1"/>
      <c r="P3" s="1"/>
      <c r="Q3" s="1"/>
      <c r="R3" s="1"/>
      <c r="S3" s="1"/>
      <c r="T3" s="1"/>
      <c r="U3" s="1"/>
      <c r="V3" s="1"/>
      <c r="W3" s="1"/>
      <c r="X3" s="1"/>
    </row>
    <row r="4" spans="1:24" s="66" customFormat="1" ht="12.75">
      <c r="A4" s="8" t="str">
        <f>Assumptions!C3</f>
        <v>Rs. in Crores</v>
      </c>
      <c r="B4" s="19"/>
      <c r="C4" s="2"/>
      <c r="D4" s="2"/>
      <c r="E4" s="2"/>
      <c r="F4" s="2"/>
      <c r="G4" s="2"/>
      <c r="H4" s="2"/>
      <c r="I4" s="2"/>
      <c r="J4" s="2"/>
      <c r="K4" s="2"/>
      <c r="L4" s="2"/>
      <c r="M4" s="2"/>
      <c r="N4" s="2"/>
      <c r="O4" s="2"/>
      <c r="P4" s="2"/>
      <c r="Q4" s="2"/>
      <c r="R4" s="2"/>
      <c r="S4" s="2"/>
      <c r="T4" s="2"/>
      <c r="U4" s="2"/>
      <c r="V4" s="2"/>
      <c r="W4" s="2"/>
      <c r="X4" s="2"/>
    </row>
    <row r="5" spans="1:24" ht="12.75" outlineLevel="1">
      <c r="A5" s="4" t="s">
        <v>0</v>
      </c>
      <c r="B5" s="41"/>
      <c r="C5" s="23"/>
      <c r="D5" s="23"/>
      <c r="E5" s="4">
        <f>Assumptions!E18</f>
        <v>2012</v>
      </c>
      <c r="F5" s="4">
        <f>Assumptions!F18</f>
        <v>2013</v>
      </c>
      <c r="G5" s="4">
        <f>Assumptions!G18</f>
        <v>2014</v>
      </c>
      <c r="H5" s="4">
        <f>Assumptions!H18</f>
        <v>2015</v>
      </c>
      <c r="I5" s="4">
        <f>Assumptions!I18</f>
        <v>2016</v>
      </c>
      <c r="J5" s="4">
        <f>Assumptions!J18</f>
        <v>2017</v>
      </c>
      <c r="K5" s="4">
        <f>Assumptions!K18</f>
        <v>2018</v>
      </c>
      <c r="L5" s="4">
        <f>Assumptions!L18</f>
        <v>2019</v>
      </c>
      <c r="M5" s="4">
        <f>Assumptions!M18</f>
        <v>2020</v>
      </c>
      <c r="N5" s="4">
        <f>Assumptions!N18</f>
        <v>2021</v>
      </c>
      <c r="O5" s="4">
        <f>Assumptions!O18</f>
        <v>2022</v>
      </c>
      <c r="P5" s="4">
        <f>Assumptions!P18</f>
        <v>2023</v>
      </c>
      <c r="Q5" s="4">
        <f>Assumptions!Q18</f>
        <v>2024</v>
      </c>
      <c r="R5" s="4">
        <f>Assumptions!R18</f>
        <v>2025</v>
      </c>
      <c r="S5" s="4">
        <f>Assumptions!S18</f>
        <v>2026</v>
      </c>
      <c r="T5" s="4">
        <f>Assumptions!T18</f>
        <v>2027</v>
      </c>
      <c r="U5" s="4">
        <f>Assumptions!U18</f>
        <v>2028</v>
      </c>
      <c r="V5" s="4">
        <f>Assumptions!V18</f>
        <v>2029</v>
      </c>
      <c r="W5" s="4">
        <f>Assumptions!W18</f>
        <v>2030</v>
      </c>
      <c r="X5" s="4">
        <f>Assumptions!X18</f>
        <v>2031</v>
      </c>
    </row>
    <row r="6" spans="1:24" ht="12.75" outlineLevel="1">
      <c r="A6" s="4" t="s">
        <v>1</v>
      </c>
      <c r="B6" s="41"/>
      <c r="C6" s="23"/>
      <c r="D6" s="23"/>
      <c r="E6" s="4">
        <f>Assumptions!E19</f>
        <v>1</v>
      </c>
      <c r="F6" s="4">
        <f>Assumptions!F19</f>
        <v>2</v>
      </c>
      <c r="G6" s="4">
        <f>Assumptions!G19</f>
        <v>3</v>
      </c>
      <c r="H6" s="4">
        <f>Assumptions!H19</f>
        <v>4</v>
      </c>
      <c r="I6" s="4">
        <f>Assumptions!I19</f>
        <v>5</v>
      </c>
      <c r="J6" s="4">
        <f>Assumptions!J19</f>
        <v>6</v>
      </c>
      <c r="K6" s="4">
        <f>Assumptions!K19</f>
        <v>7</v>
      </c>
      <c r="L6" s="4">
        <f>Assumptions!L19</f>
        <v>8</v>
      </c>
      <c r="M6" s="4">
        <f>Assumptions!M19</f>
        <v>9</v>
      </c>
      <c r="N6" s="4">
        <f>Assumptions!N19</f>
        <v>10</v>
      </c>
      <c r="O6" s="4">
        <f>Assumptions!O19</f>
        <v>11</v>
      </c>
      <c r="P6" s="4">
        <f>Assumptions!P19</f>
        <v>12</v>
      </c>
      <c r="Q6" s="4">
        <f>Assumptions!Q19</f>
        <v>13</v>
      </c>
      <c r="R6" s="4">
        <f>Assumptions!R19</f>
        <v>14</v>
      </c>
      <c r="S6" s="4">
        <f>Assumptions!S19</f>
        <v>15</v>
      </c>
      <c r="T6" s="4">
        <f>Assumptions!T19</f>
        <v>16</v>
      </c>
      <c r="U6" s="4">
        <f>Assumptions!U19</f>
        <v>17</v>
      </c>
      <c r="V6" s="4">
        <f>Assumptions!V19</f>
        <v>18</v>
      </c>
      <c r="W6" s="4">
        <f>Assumptions!W19</f>
        <v>19</v>
      </c>
      <c r="X6" s="4">
        <f>Assumptions!X19</f>
        <v>20</v>
      </c>
    </row>
    <row r="7" spans="1:24" s="66" customFormat="1" ht="12.75" outlineLevel="1">
      <c r="A7" s="8"/>
      <c r="B7" s="95"/>
      <c r="C7" s="2"/>
      <c r="D7" s="2"/>
      <c r="E7" s="8"/>
      <c r="F7" s="8"/>
      <c r="G7" s="8"/>
      <c r="H7" s="8"/>
      <c r="I7" s="8"/>
      <c r="J7" s="8"/>
      <c r="K7" s="8"/>
      <c r="L7" s="8"/>
      <c r="M7" s="8"/>
      <c r="N7" s="8"/>
      <c r="O7" s="8"/>
      <c r="P7" s="8"/>
      <c r="Q7" s="8"/>
      <c r="R7" s="8"/>
      <c r="S7" s="8"/>
      <c r="T7" s="8"/>
      <c r="U7" s="8"/>
      <c r="V7" s="8"/>
      <c r="W7" s="8"/>
      <c r="X7" s="8"/>
    </row>
    <row r="8" spans="1:24" s="66" customFormat="1" ht="12.75" outlineLevel="1">
      <c r="A8" s="104" t="s">
        <v>39</v>
      </c>
      <c r="B8" s="9"/>
      <c r="C8" s="2"/>
      <c r="D8" s="2"/>
      <c r="E8" s="8"/>
      <c r="F8" s="8"/>
      <c r="G8" s="8"/>
      <c r="H8" s="8"/>
      <c r="I8" s="8"/>
      <c r="J8" s="8"/>
      <c r="K8" s="8"/>
      <c r="L8" s="8"/>
      <c r="M8" s="8"/>
      <c r="N8" s="8"/>
      <c r="O8" s="8"/>
      <c r="P8" s="8"/>
      <c r="Q8" s="8"/>
      <c r="R8" s="8"/>
      <c r="S8" s="8"/>
      <c r="T8" s="8"/>
      <c r="U8" s="8"/>
      <c r="V8" s="8"/>
      <c r="W8" s="8"/>
      <c r="X8" s="8"/>
    </row>
    <row r="9" spans="1:24" s="66" customFormat="1" ht="12.75" outlineLevel="1">
      <c r="A9" s="80" t="s">
        <v>40</v>
      </c>
      <c r="B9" s="9"/>
      <c r="C9" s="2"/>
      <c r="D9" s="2"/>
      <c r="E9" s="96">
        <f>'CoP &amp; MoF'!E18</f>
        <v>107.59349608949572</v>
      </c>
      <c r="F9" s="96">
        <f>E9+'CoP &amp; MoF'!F18</f>
        <v>242.3396380867691</v>
      </c>
      <c r="G9" s="96">
        <f>F9+'CoP &amp; MoF'!G18</f>
        <v>299.4852755644083</v>
      </c>
      <c r="H9" s="96">
        <f>G9+'CoP &amp; MoF'!H18</f>
        <v>299.4852755644083</v>
      </c>
      <c r="I9" s="96">
        <f>H9+'CoP &amp; MoF'!I18</f>
        <v>299.4852755644083</v>
      </c>
      <c r="J9" s="96">
        <f>I9+'CoP &amp; MoF'!J18</f>
        <v>299.4852755644083</v>
      </c>
      <c r="K9" s="96">
        <f>J9+'CoP &amp; MoF'!K18</f>
        <v>299.4852755644083</v>
      </c>
      <c r="L9" s="96">
        <f>K9+'CoP &amp; MoF'!L18</f>
        <v>299.4852755644083</v>
      </c>
      <c r="M9" s="96">
        <f>L9+'CoP &amp; MoF'!M18</f>
        <v>299.4852755644083</v>
      </c>
      <c r="N9" s="96">
        <f>M9+'CoP &amp; MoF'!N18</f>
        <v>299.4852755644083</v>
      </c>
      <c r="O9" s="96">
        <f>N9+'CoP &amp; MoF'!O18</f>
        <v>299.4852755644083</v>
      </c>
      <c r="P9" s="96">
        <f>O9+'CoP &amp; MoF'!P18</f>
        <v>299.4852755644083</v>
      </c>
      <c r="Q9" s="96">
        <f>P9+'CoP &amp; MoF'!Q18</f>
        <v>299.4852755644083</v>
      </c>
      <c r="R9" s="96">
        <f>Q9+'CoP &amp; MoF'!R18</f>
        <v>299.4852755644083</v>
      </c>
      <c r="S9" s="96">
        <f>R9+'CoP &amp; MoF'!S18</f>
        <v>299.4852755644083</v>
      </c>
      <c r="T9" s="96">
        <f>S9+'CoP &amp; MoF'!T18</f>
        <v>299.4852755644083</v>
      </c>
      <c r="U9" s="96">
        <f>T9+'CoP &amp; MoF'!U18</f>
        <v>299.4852755644083</v>
      </c>
      <c r="V9" s="96">
        <f>U9+'CoP &amp; MoF'!V18</f>
        <v>299.4852755644083</v>
      </c>
      <c r="W9" s="96">
        <f>V9+'CoP &amp; MoF'!W18</f>
        <v>299.4852755644083</v>
      </c>
      <c r="X9" s="96">
        <f>W9+'CoP &amp; MoF'!X18</f>
        <v>299.4852755644083</v>
      </c>
    </row>
    <row r="10" spans="1:24" s="66" customFormat="1" ht="12.75" outlineLevel="1">
      <c r="A10" s="97" t="s">
        <v>41</v>
      </c>
      <c r="B10" s="82"/>
      <c r="C10" s="2"/>
      <c r="D10" s="2"/>
      <c r="E10" s="98">
        <f>'P&amp;L'!E32</f>
        <v>7.098756559107095</v>
      </c>
      <c r="F10" s="98">
        <f>E10+'P&amp;L'!F32</f>
        <v>1.8484707214088445</v>
      </c>
      <c r="G10" s="98">
        <f>F10+'P&amp;L'!G32</f>
        <v>-11.280367952078699</v>
      </c>
      <c r="H10" s="98">
        <f>G10+'P&amp;L'!H32</f>
        <v>-12.00283153911451</v>
      </c>
      <c r="I10" s="98">
        <f>H10+'P&amp;L'!I32</f>
        <v>-6.467556237723763</v>
      </c>
      <c r="J10" s="98">
        <f>I10+'P&amp;L'!J32</f>
        <v>7.491557599181509</v>
      </c>
      <c r="K10" s="98">
        <f>J10+'P&amp;L'!K32</f>
        <v>37.67681930046697</v>
      </c>
      <c r="L10" s="98">
        <f>K10+'P&amp;L'!L32</f>
        <v>80.91740834846647</v>
      </c>
      <c r="M10" s="98">
        <f>L10+'P&amp;L'!M32</f>
        <v>136.9718743450067</v>
      </c>
      <c r="N10" s="98">
        <f>M10+'P&amp;L'!N32</f>
        <v>194.273737219779</v>
      </c>
      <c r="O10" s="98">
        <f>N10+'P&amp;L'!O32</f>
        <v>281.5835601310499</v>
      </c>
      <c r="P10" s="98">
        <f>O10+'P&amp;L'!P32</f>
        <v>377.84179367510495</v>
      </c>
      <c r="Q10" s="98">
        <f>P10+'P&amp;L'!Q32</f>
        <v>500.67993159981404</v>
      </c>
      <c r="R10" s="98">
        <f>Q10+'P&amp;L'!R32</f>
        <v>651.3046661114774</v>
      </c>
      <c r="S10" s="98">
        <f>R10+'P&amp;L'!S32</f>
        <v>808.5965432583278</v>
      </c>
      <c r="T10" s="98">
        <f>S10+'P&amp;L'!T32</f>
        <v>990.2752565905</v>
      </c>
      <c r="U10" s="98">
        <f>T10+'P&amp;L'!U32</f>
        <v>1154.3701914311018</v>
      </c>
      <c r="V10" s="98">
        <f>U10+'P&amp;L'!V32</f>
        <v>1324.6684608357564</v>
      </c>
      <c r="W10" s="98">
        <f>V10+'P&amp;L'!W32</f>
        <v>1535.6996628942607</v>
      </c>
      <c r="X10" s="98">
        <f>W10+'P&amp;L'!X32</f>
        <v>1754.1177679168288</v>
      </c>
    </row>
    <row r="11" spans="1:24" s="66" customFormat="1" ht="12.75" outlineLevel="1">
      <c r="A11" s="81" t="s">
        <v>42</v>
      </c>
      <c r="B11" s="99"/>
      <c r="C11" s="86"/>
      <c r="D11" s="86"/>
      <c r="E11" s="90">
        <f aca="true" t="shared" si="0" ref="E11:X11">E9+E10</f>
        <v>114.69225264860282</v>
      </c>
      <c r="F11" s="90">
        <f t="shared" si="0"/>
        <v>244.18810880817796</v>
      </c>
      <c r="G11" s="90">
        <f t="shared" si="0"/>
        <v>288.20490761232963</v>
      </c>
      <c r="H11" s="90">
        <f t="shared" si="0"/>
        <v>287.48244402529383</v>
      </c>
      <c r="I11" s="90">
        <f t="shared" si="0"/>
        <v>293.0177193266845</v>
      </c>
      <c r="J11" s="90">
        <f t="shared" si="0"/>
        <v>306.97683316358984</v>
      </c>
      <c r="K11" s="90">
        <f t="shared" si="0"/>
        <v>337.16209486487526</v>
      </c>
      <c r="L11" s="90">
        <f t="shared" si="0"/>
        <v>380.40268391287475</v>
      </c>
      <c r="M11" s="90">
        <f t="shared" si="0"/>
        <v>436.457149909415</v>
      </c>
      <c r="N11" s="90">
        <f t="shared" si="0"/>
        <v>493.75901278418735</v>
      </c>
      <c r="O11" s="90">
        <f t="shared" si="0"/>
        <v>581.0688356954582</v>
      </c>
      <c r="P11" s="90">
        <f t="shared" si="0"/>
        <v>677.3270692395133</v>
      </c>
      <c r="Q11" s="90">
        <f t="shared" si="0"/>
        <v>800.1652071642224</v>
      </c>
      <c r="R11" s="90">
        <f t="shared" si="0"/>
        <v>950.7899416758858</v>
      </c>
      <c r="S11" s="90">
        <f t="shared" si="0"/>
        <v>1108.081818822736</v>
      </c>
      <c r="T11" s="90">
        <f t="shared" si="0"/>
        <v>1289.7605321549083</v>
      </c>
      <c r="U11" s="90">
        <f t="shared" si="0"/>
        <v>1453.8554669955101</v>
      </c>
      <c r="V11" s="90">
        <f t="shared" si="0"/>
        <v>1624.1537364001647</v>
      </c>
      <c r="W11" s="90">
        <f t="shared" si="0"/>
        <v>1835.184938458669</v>
      </c>
      <c r="X11" s="90">
        <f t="shared" si="0"/>
        <v>2053.6030434812374</v>
      </c>
    </row>
    <row r="12" spans="1:24" s="66" customFormat="1" ht="12.75" outlineLevel="1">
      <c r="A12" s="80" t="s">
        <v>16</v>
      </c>
      <c r="B12" s="9"/>
      <c r="C12" s="2"/>
      <c r="D12" s="2"/>
      <c r="E12" s="100">
        <f>'Term Loan'!H15</f>
        <v>179.03557749292088</v>
      </c>
      <c r="F12" s="100">
        <f>'Term Loan'!H20</f>
        <v>366.0137576578562</v>
      </c>
      <c r="G12" s="100">
        <f>'Term Loan'!H25</f>
        <v>384.9732368278138</v>
      </c>
      <c r="H12" s="100">
        <f>'Term Loan'!H30</f>
        <v>342.19843273583444</v>
      </c>
      <c r="I12" s="100">
        <f>'Term Loan'!H35</f>
        <v>299.42362864385507</v>
      </c>
      <c r="J12" s="100">
        <f>'Term Loan'!H40</f>
        <v>256.6488245518757</v>
      </c>
      <c r="K12" s="100">
        <f>'Term Loan'!H45</f>
        <v>213.87402045989643</v>
      </c>
      <c r="L12" s="100">
        <f>'Term Loan'!H50</f>
        <v>171.09921636791717</v>
      </c>
      <c r="M12" s="100">
        <f>'Term Loan'!H55</f>
        <v>128.3244122759379</v>
      </c>
      <c r="N12" s="100">
        <f>'Term Loan'!H60</f>
        <v>85.54960818395858</v>
      </c>
      <c r="O12" s="100">
        <f>'Term Loan'!H65</f>
        <v>42.77480409197926</v>
      </c>
      <c r="P12" s="100">
        <f>'Term Loan'!H70</f>
        <v>0</v>
      </c>
      <c r="Q12" s="100">
        <f>'Term Loan'!H75</f>
        <v>0</v>
      </c>
      <c r="R12" s="100">
        <f>'Term Loan'!H80</f>
        <v>0</v>
      </c>
      <c r="S12" s="100">
        <v>0</v>
      </c>
      <c r="T12" s="100">
        <v>0</v>
      </c>
      <c r="U12" s="100">
        <v>0</v>
      </c>
      <c r="V12" s="100">
        <v>0</v>
      </c>
      <c r="W12" s="100">
        <v>0</v>
      </c>
      <c r="X12" s="100">
        <v>0</v>
      </c>
    </row>
    <row r="13" spans="1:24" s="66" customFormat="1" ht="12.75" outlineLevel="1">
      <c r="A13" s="80"/>
      <c r="B13" s="9"/>
      <c r="C13" s="2"/>
      <c r="D13" s="2"/>
      <c r="E13" s="100"/>
      <c r="F13" s="100"/>
      <c r="G13" s="100"/>
      <c r="H13" s="100"/>
      <c r="I13" s="100"/>
      <c r="J13" s="100"/>
      <c r="K13" s="100"/>
      <c r="L13" s="100"/>
      <c r="M13" s="100"/>
      <c r="N13" s="100"/>
      <c r="O13" s="100"/>
      <c r="P13" s="100"/>
      <c r="Q13" s="100"/>
      <c r="R13" s="100"/>
      <c r="S13" s="100"/>
      <c r="T13" s="100"/>
      <c r="U13" s="100"/>
      <c r="V13" s="100"/>
      <c r="W13" s="100"/>
      <c r="X13" s="100"/>
    </row>
    <row r="14" spans="1:24" s="66" customFormat="1" ht="12.75" outlineLevel="1">
      <c r="A14" s="79" t="s">
        <v>43</v>
      </c>
      <c r="B14" s="11"/>
      <c r="C14" s="2"/>
      <c r="D14" s="2"/>
      <c r="E14" s="2"/>
      <c r="F14" s="2"/>
      <c r="G14" s="2"/>
      <c r="H14" s="2"/>
      <c r="I14" s="2"/>
      <c r="J14" s="2"/>
      <c r="K14" s="2"/>
      <c r="L14" s="2"/>
      <c r="M14" s="2"/>
      <c r="N14" s="2"/>
      <c r="O14" s="2"/>
      <c r="P14" s="2"/>
      <c r="Q14" s="2"/>
      <c r="R14" s="2"/>
      <c r="S14" s="2"/>
      <c r="T14" s="2"/>
      <c r="U14" s="2"/>
      <c r="V14" s="2"/>
      <c r="W14" s="2"/>
      <c r="X14" s="2"/>
    </row>
    <row r="15" spans="1:24" s="66" customFormat="1" ht="12.75" outlineLevel="1">
      <c r="A15" s="80" t="s">
        <v>44</v>
      </c>
      <c r="B15" s="9"/>
      <c r="C15" s="2"/>
      <c r="D15" s="2"/>
      <c r="E15" s="96">
        <f>WC!E12</f>
        <v>4.713259008265773</v>
      </c>
      <c r="F15" s="96">
        <f>WC!F12</f>
        <v>5.1632909208722495</v>
      </c>
      <c r="G15" s="96">
        <f>WC!G12</f>
        <v>5.864222181573036</v>
      </c>
      <c r="H15" s="96">
        <f>WC!H12</f>
        <v>3.571825773418657</v>
      </c>
      <c r="I15" s="96">
        <f>WC!I12</f>
        <v>3.7634625348348654</v>
      </c>
      <c r="J15" s="96">
        <f>WC!J12</f>
        <v>3.9764832405166275</v>
      </c>
      <c r="K15" s="96">
        <f>WC!K12</f>
        <v>4.183494299827879</v>
      </c>
      <c r="L15" s="96">
        <f>WC!L12</f>
        <v>4.429776886128244</v>
      </c>
      <c r="M15" s="96">
        <f>WC!M12</f>
        <v>4.666222626167935</v>
      </c>
      <c r="N15" s="96">
        <f>WC!N12</f>
        <v>5.96992512815051</v>
      </c>
      <c r="O15" s="96">
        <f>WC!O12</f>
        <v>6.274438246095202</v>
      </c>
      <c r="P15" s="96">
        <f>WC!P12</f>
        <v>6.59663418193504</v>
      </c>
      <c r="Q15" s="96">
        <f>WC!Q12</f>
        <v>6.942544057837843</v>
      </c>
      <c r="R15" s="96">
        <f>WC!R12</f>
        <v>7.340286142639807</v>
      </c>
      <c r="S15" s="96">
        <f>WC!S12</f>
        <v>7.705648129364769</v>
      </c>
      <c r="T15" s="96">
        <f>WC!T12</f>
        <v>8.1084736699905</v>
      </c>
      <c r="U15" s="96">
        <f>WC!U12</f>
        <v>8.504548860987638</v>
      </c>
      <c r="V15" s="96">
        <f>WC!V12</f>
        <v>8.986040280407394</v>
      </c>
      <c r="W15" s="96">
        <f>WC!W12</f>
        <v>9.530226247312255</v>
      </c>
      <c r="X15" s="96">
        <f>WC!X12</f>
        <v>10.120301801360705</v>
      </c>
    </row>
    <row r="16" spans="1:24" s="66" customFormat="1" ht="12.75" outlineLevel="1">
      <c r="A16" s="85" t="s">
        <v>45</v>
      </c>
      <c r="B16" s="9"/>
      <c r="C16" s="2"/>
      <c r="D16" s="2"/>
      <c r="E16" s="96">
        <f>WC!E16</f>
        <v>0</v>
      </c>
      <c r="F16" s="96">
        <f>WC!F16</f>
        <v>0</v>
      </c>
      <c r="G16" s="96">
        <f>WC!G16</f>
        <v>0</v>
      </c>
      <c r="H16" s="96">
        <f>WC!H16</f>
        <v>0.8468412089987225</v>
      </c>
      <c r="I16" s="96">
        <f>WC!I16</f>
        <v>0.6848301566291819</v>
      </c>
      <c r="J16" s="96">
        <f>WC!J16</f>
        <v>0.7735833744728462</v>
      </c>
      <c r="K16" s="96">
        <f>WC!K16</f>
        <v>1.782496375028683</v>
      </c>
      <c r="L16" s="96">
        <f>WC!L16</f>
        <v>2.3942987239724682</v>
      </c>
      <c r="M16" s="96">
        <f>WC!M16</f>
        <v>3.1451238525739442</v>
      </c>
      <c r="N16" s="96">
        <f>WC!N16</f>
        <v>3.7739294452520666</v>
      </c>
      <c r="O16" s="96">
        <f>WC!O16</f>
        <v>4.775373609161411</v>
      </c>
      <c r="P16" s="96">
        <f>WC!P16</f>
        <v>4.787441442952337</v>
      </c>
      <c r="Q16" s="96">
        <f>WC!Q16</f>
        <v>7.10947476812748</v>
      </c>
      <c r="R16" s="96">
        <f>WC!R16</f>
        <v>9.796967356958596</v>
      </c>
      <c r="S16" s="96">
        <f>WC!S16</f>
        <v>9.938316039582084</v>
      </c>
      <c r="T16" s="96">
        <f>WC!T16</f>
        <v>13.84175595964864</v>
      </c>
      <c r="U16" s="96">
        <f>WC!U16</f>
        <v>14.08865124355113</v>
      </c>
      <c r="V16" s="96">
        <f>WC!V16</f>
        <v>14.270531578847152</v>
      </c>
      <c r="W16" s="96">
        <f>WC!W16</f>
        <v>19.309470312916332</v>
      </c>
      <c r="X16" s="96">
        <f>WC!X16</f>
        <v>19.559124155299813</v>
      </c>
    </row>
    <row r="17" spans="1:24" s="66" customFormat="1" ht="12.75" outlineLevel="1">
      <c r="A17" s="79" t="s">
        <v>39</v>
      </c>
      <c r="B17" s="50"/>
      <c r="C17" s="50"/>
      <c r="D17" s="50"/>
      <c r="E17" s="87">
        <f aca="true" t="shared" si="1" ref="E17:X17">SUM(E11:E16)</f>
        <v>298.44108914978943</v>
      </c>
      <c r="F17" s="87">
        <f t="shared" si="1"/>
        <v>615.3651573869064</v>
      </c>
      <c r="G17" s="87">
        <f t="shared" si="1"/>
        <v>679.0423666217165</v>
      </c>
      <c r="H17" s="87">
        <f t="shared" si="1"/>
        <v>634.0995437435457</v>
      </c>
      <c r="I17" s="87">
        <f t="shared" si="1"/>
        <v>596.8896406620037</v>
      </c>
      <c r="J17" s="87">
        <f t="shared" si="1"/>
        <v>568.375724330455</v>
      </c>
      <c r="K17" s="87">
        <f t="shared" si="1"/>
        <v>557.0021059996283</v>
      </c>
      <c r="L17" s="87">
        <f t="shared" si="1"/>
        <v>558.3259758908927</v>
      </c>
      <c r="M17" s="87">
        <f t="shared" si="1"/>
        <v>572.5929086640948</v>
      </c>
      <c r="N17" s="87">
        <f t="shared" si="1"/>
        <v>589.0524755415486</v>
      </c>
      <c r="O17" s="87">
        <f t="shared" si="1"/>
        <v>634.8934516426941</v>
      </c>
      <c r="P17" s="87">
        <f t="shared" si="1"/>
        <v>688.7111448644007</v>
      </c>
      <c r="Q17" s="87">
        <f t="shared" si="1"/>
        <v>814.2172259901877</v>
      </c>
      <c r="R17" s="87">
        <f t="shared" si="1"/>
        <v>967.9271951754841</v>
      </c>
      <c r="S17" s="87">
        <f t="shared" si="1"/>
        <v>1125.725782991683</v>
      </c>
      <c r="T17" s="87">
        <f t="shared" si="1"/>
        <v>1311.7107617845475</v>
      </c>
      <c r="U17" s="87">
        <f t="shared" si="1"/>
        <v>1476.4486671000489</v>
      </c>
      <c r="V17" s="87">
        <f t="shared" si="1"/>
        <v>1647.4103082594193</v>
      </c>
      <c r="W17" s="87">
        <f t="shared" si="1"/>
        <v>1864.0246350188975</v>
      </c>
      <c r="X17" s="87">
        <f t="shared" si="1"/>
        <v>2083.282469437898</v>
      </c>
    </row>
    <row r="18" spans="1:24" s="66" customFormat="1" ht="12.75" outlineLevel="1">
      <c r="A18" s="83"/>
      <c r="B18" s="9"/>
      <c r="C18" s="2"/>
      <c r="D18" s="2"/>
      <c r="E18" s="2"/>
      <c r="F18" s="2"/>
      <c r="G18" s="2"/>
      <c r="H18" s="2"/>
      <c r="I18" s="2"/>
      <c r="J18" s="2"/>
      <c r="K18" s="2"/>
      <c r="L18" s="2"/>
      <c r="M18" s="2"/>
      <c r="N18" s="2"/>
      <c r="O18" s="2"/>
      <c r="P18" s="2"/>
      <c r="Q18" s="2"/>
      <c r="R18" s="2"/>
      <c r="S18" s="2"/>
      <c r="T18" s="2"/>
      <c r="U18" s="2"/>
      <c r="V18" s="2"/>
      <c r="W18" s="2"/>
      <c r="X18" s="2"/>
    </row>
    <row r="19" spans="1:24" s="66" customFormat="1" ht="12.75" outlineLevel="1">
      <c r="A19" s="104" t="s">
        <v>46</v>
      </c>
      <c r="B19" s="9"/>
      <c r="C19" s="2"/>
      <c r="D19" s="2"/>
      <c r="E19" s="2"/>
      <c r="F19" s="2"/>
      <c r="G19" s="2"/>
      <c r="H19" s="2"/>
      <c r="I19" s="2"/>
      <c r="J19" s="2"/>
      <c r="K19" s="2"/>
      <c r="L19" s="2"/>
      <c r="M19" s="2"/>
      <c r="N19" s="2"/>
      <c r="O19" s="2"/>
      <c r="P19" s="2"/>
      <c r="Q19" s="2"/>
      <c r="R19" s="2"/>
      <c r="S19" s="2"/>
      <c r="T19" s="2"/>
      <c r="U19" s="2"/>
      <c r="V19" s="2"/>
      <c r="W19" s="2"/>
      <c r="X19" s="2"/>
    </row>
    <row r="20" spans="1:24" s="66" customFormat="1" ht="12.75" outlineLevel="1">
      <c r="A20" s="80" t="s">
        <v>47</v>
      </c>
      <c r="B20" s="9"/>
      <c r="C20" s="2"/>
      <c r="D20" s="2"/>
      <c r="E20" s="2"/>
      <c r="F20" s="2"/>
      <c r="G20" s="2"/>
      <c r="H20" s="2"/>
      <c r="I20" s="2"/>
      <c r="J20" s="2"/>
      <c r="K20" s="2"/>
      <c r="L20" s="2"/>
      <c r="M20" s="2"/>
      <c r="N20" s="2"/>
      <c r="O20" s="2"/>
      <c r="P20" s="2"/>
      <c r="Q20" s="2"/>
      <c r="R20" s="2"/>
      <c r="S20" s="2"/>
      <c r="T20" s="2"/>
      <c r="U20" s="2"/>
      <c r="V20" s="2"/>
      <c r="W20" s="2"/>
      <c r="X20" s="2"/>
    </row>
    <row r="21" spans="1:24" s="66" customFormat="1" ht="12.75" outlineLevel="1">
      <c r="A21" s="80" t="s">
        <v>138</v>
      </c>
      <c r="B21" s="9"/>
      <c r="C21" s="2"/>
      <c r="D21" s="2"/>
      <c r="E21" s="101">
        <f>'CoP &amp; MoF'!E14</f>
        <v>286.6290735824166</v>
      </c>
      <c r="F21" s="101">
        <f>E21+'CoP &amp; MoF'!F14</f>
        <v>608.3533957446253</v>
      </c>
      <c r="G21" s="101">
        <f>F21+'CoP &amp; MoF'!G14</f>
        <v>684.4585123922221</v>
      </c>
      <c r="H21" s="101">
        <f>G21+'CoP &amp; MoF'!H14</f>
        <v>689.4585123922221</v>
      </c>
      <c r="I21" s="101">
        <f>H21+'CoP &amp; MoF'!I14</f>
        <v>694.4585123922221</v>
      </c>
      <c r="J21" s="101">
        <f>I21+'CoP &amp; MoF'!J14</f>
        <v>699.4585123922221</v>
      </c>
      <c r="K21" s="101">
        <f>J21+'CoP &amp; MoF'!K14</f>
        <v>709.4585123922221</v>
      </c>
      <c r="L21" s="101">
        <f>K21+'CoP &amp; MoF'!L14</f>
        <v>719.9585123922221</v>
      </c>
      <c r="M21" s="101">
        <f>L21+'CoP &amp; MoF'!M14</f>
        <v>730.9835123922221</v>
      </c>
      <c r="N21" s="101">
        <f>M21+'CoP &amp; MoF'!N14</f>
        <v>742.5597623922221</v>
      </c>
      <c r="O21" s="101">
        <f>N21+'CoP &amp; MoF'!O14</f>
        <v>754.714824892222</v>
      </c>
      <c r="P21" s="101">
        <f>O21+'CoP &amp; MoF'!P14</f>
        <v>767.4776405172221</v>
      </c>
      <c r="Q21" s="101">
        <f>P21+'CoP &amp; MoF'!Q14</f>
        <v>780.8785969234721</v>
      </c>
      <c r="R21" s="101">
        <f>Q21+'CoP &amp; MoF'!R14</f>
        <v>794.9496011500346</v>
      </c>
      <c r="S21" s="101">
        <f>R21+'CoP &amp; MoF'!S14</f>
        <v>809.7241555879252</v>
      </c>
      <c r="T21" s="101">
        <f>S21+'CoP &amp; MoF'!T14</f>
        <v>825.2374377477104</v>
      </c>
      <c r="U21" s="101">
        <f>T21+'CoP &amp; MoF'!U14</f>
        <v>841.5263840154848</v>
      </c>
      <c r="V21" s="101">
        <f>U21+'CoP &amp; MoF'!V14</f>
        <v>858.629777596648</v>
      </c>
      <c r="W21" s="101">
        <f>V21+'CoP &amp; MoF'!W14</f>
        <v>876.5883408568693</v>
      </c>
      <c r="X21" s="101">
        <f>W21+'CoP &amp; MoF'!X14</f>
        <v>895.4448322801017</v>
      </c>
    </row>
    <row r="22" spans="1:24" s="66" customFormat="1" ht="12.75" outlineLevel="1">
      <c r="A22" s="85" t="s">
        <v>48</v>
      </c>
      <c r="B22" s="9"/>
      <c r="C22" s="2"/>
      <c r="D22" s="2"/>
      <c r="E22" s="101">
        <f>Depreciation!E28</f>
        <v>14.33145367912083</v>
      </c>
      <c r="F22" s="101">
        <f>Depreciation!F28</f>
        <v>44.7491234663521</v>
      </c>
      <c r="G22" s="101">
        <f>Depreciation!G28</f>
        <v>78.97204908596322</v>
      </c>
      <c r="H22" s="101">
        <f>Depreciation!H28</f>
        <v>113.44497470557434</v>
      </c>
      <c r="I22" s="101">
        <f>Depreciation!I28</f>
        <v>148.16790032518546</v>
      </c>
      <c r="J22" s="101">
        <f>Depreciation!J28</f>
        <v>183.14082594479657</v>
      </c>
      <c r="K22" s="101">
        <f>Depreciation!K28</f>
        <v>218.6137515644077</v>
      </c>
      <c r="L22" s="101">
        <f>Depreciation!L28</f>
        <v>254.6116771840188</v>
      </c>
      <c r="M22" s="101">
        <f>Depreciation!M28</f>
        <v>291.1608528036299</v>
      </c>
      <c r="N22" s="101">
        <f>Depreciation!N28</f>
        <v>328.28884092324097</v>
      </c>
      <c r="O22" s="101">
        <f>Depreciation!O28</f>
        <v>366.0245821678521</v>
      </c>
      <c r="P22" s="101">
        <f>Depreciation!P28</f>
        <v>404.3984641937132</v>
      </c>
      <c r="Q22" s="101">
        <f>Depreciation!Q28</f>
        <v>443.44239403988684</v>
      </c>
      <c r="R22" s="101">
        <f>Depreciation!R28</f>
        <v>483.18987409738855</v>
      </c>
      <c r="S22" s="101">
        <f>Depreciation!S28</f>
        <v>523.6760818767848</v>
      </c>
      <c r="T22" s="101">
        <f>Depreciation!T28</f>
        <v>564.9379537641703</v>
      </c>
      <c r="U22" s="101">
        <f>Depreciation!U28</f>
        <v>607.0142729649446</v>
      </c>
      <c r="V22" s="101">
        <f>Depreciation!V28</f>
        <v>649.9457618447769</v>
      </c>
      <c r="W22" s="101">
        <f>Depreciation!W28</f>
        <v>693.7751788876204</v>
      </c>
      <c r="X22" s="101">
        <f>Depreciation!X28</f>
        <v>738.5474205016255</v>
      </c>
    </row>
    <row r="23" spans="1:24" s="66" customFormat="1" ht="12.75" outlineLevel="1">
      <c r="A23" s="79" t="s">
        <v>49</v>
      </c>
      <c r="B23" s="50"/>
      <c r="C23" s="50"/>
      <c r="D23" s="50"/>
      <c r="E23" s="88">
        <f aca="true" t="shared" si="2" ref="E23:X23">E21-E22</f>
        <v>272.29761990329575</v>
      </c>
      <c r="F23" s="88">
        <f t="shared" si="2"/>
        <v>563.6042722782732</v>
      </c>
      <c r="G23" s="88">
        <f t="shared" si="2"/>
        <v>605.4864633062589</v>
      </c>
      <c r="H23" s="88">
        <f t="shared" si="2"/>
        <v>576.0135376866479</v>
      </c>
      <c r="I23" s="88">
        <f t="shared" si="2"/>
        <v>546.2906120670367</v>
      </c>
      <c r="J23" s="88">
        <f t="shared" si="2"/>
        <v>516.3176864474256</v>
      </c>
      <c r="K23" s="88">
        <f t="shared" si="2"/>
        <v>490.8447608278144</v>
      </c>
      <c r="L23" s="88">
        <f t="shared" si="2"/>
        <v>465.34683520820334</v>
      </c>
      <c r="M23" s="88">
        <f t="shared" si="2"/>
        <v>439.8226595885922</v>
      </c>
      <c r="N23" s="88">
        <f t="shared" si="2"/>
        <v>414.2709214689811</v>
      </c>
      <c r="O23" s="88">
        <f t="shared" si="2"/>
        <v>388.69024272436997</v>
      </c>
      <c r="P23" s="88">
        <f t="shared" si="2"/>
        <v>363.0791763235089</v>
      </c>
      <c r="Q23" s="88">
        <f t="shared" si="2"/>
        <v>337.4362028835852</v>
      </c>
      <c r="R23" s="88">
        <f t="shared" si="2"/>
        <v>311.75972705264604</v>
      </c>
      <c r="S23" s="88">
        <f t="shared" si="2"/>
        <v>286.04807371114043</v>
      </c>
      <c r="T23" s="88">
        <f t="shared" si="2"/>
        <v>260.2994839835401</v>
      </c>
      <c r="U23" s="88">
        <f t="shared" si="2"/>
        <v>234.51211105054028</v>
      </c>
      <c r="V23" s="88">
        <f t="shared" si="2"/>
        <v>208.68401575187102</v>
      </c>
      <c r="W23" s="88">
        <f t="shared" si="2"/>
        <v>182.81316196924888</v>
      </c>
      <c r="X23" s="88">
        <f t="shared" si="2"/>
        <v>156.8974117784761</v>
      </c>
    </row>
    <row r="24" spans="1:24" s="66" customFormat="1" ht="12.75" outlineLevel="1">
      <c r="A24" s="80" t="s">
        <v>50</v>
      </c>
      <c r="B24" s="9"/>
      <c r="C24" s="2"/>
      <c r="D24" s="2"/>
      <c r="E24" s="2"/>
      <c r="F24" s="2"/>
      <c r="G24" s="2"/>
      <c r="H24" s="2"/>
      <c r="I24" s="2"/>
      <c r="J24" s="2"/>
      <c r="K24" s="2"/>
      <c r="L24" s="2"/>
      <c r="M24" s="2"/>
      <c r="N24" s="2"/>
      <c r="O24" s="2"/>
      <c r="P24" s="2"/>
      <c r="Q24" s="2"/>
      <c r="R24" s="2"/>
      <c r="S24" s="2"/>
      <c r="T24" s="2"/>
      <c r="U24" s="2"/>
      <c r="V24" s="2"/>
      <c r="W24" s="2"/>
      <c r="X24" s="2"/>
    </row>
    <row r="25" spans="1:24" s="66" customFormat="1" ht="12.75" outlineLevel="1">
      <c r="A25" s="81" t="s">
        <v>51</v>
      </c>
      <c r="B25" s="82"/>
      <c r="C25" s="2"/>
      <c r="D25" s="2"/>
      <c r="E25" s="96">
        <f>WC!E11</f>
        <v>2.09453125</v>
      </c>
      <c r="F25" s="96">
        <f>WC!F11</f>
        <v>2.5433593750000005</v>
      </c>
      <c r="G25" s="96">
        <f>WC!G11</f>
        <v>2.5847441406250002</v>
      </c>
      <c r="H25" s="96">
        <f>WC!H11</f>
        <v>5.891555976556506</v>
      </c>
      <c r="I25" s="96">
        <f>WC!I11</f>
        <v>5.931056921952063</v>
      </c>
      <c r="J25" s="96">
        <f>WC!J11</f>
        <v>6.333422153319298</v>
      </c>
      <c r="K25" s="96">
        <f>WC!K11</f>
        <v>7.954654233142082</v>
      </c>
      <c r="L25" s="96">
        <f>WC!L11</f>
        <v>9.098767480134283</v>
      </c>
      <c r="M25" s="96">
        <f>WC!M11</f>
        <v>10.415128638322505</v>
      </c>
      <c r="N25" s="96">
        <f>WC!N11</f>
        <v>12.991806097870102</v>
      </c>
      <c r="O25" s="96">
        <f>WC!O11</f>
        <v>14.733082473675486</v>
      </c>
      <c r="P25" s="96">
        <f>WC!P11</f>
        <v>15.178767499849835</v>
      </c>
      <c r="Q25" s="96">
        <f>WC!Q11</f>
        <v>18.736025101287098</v>
      </c>
      <c r="R25" s="96">
        <f>WC!R11</f>
        <v>22.84967133279787</v>
      </c>
      <c r="S25" s="96">
        <f>WC!S11</f>
        <v>23.5252855585958</v>
      </c>
      <c r="T25" s="96">
        <f>WC!T11</f>
        <v>29.266972839518857</v>
      </c>
      <c r="U25" s="96">
        <f>WC!U11</f>
        <v>30.12426680605169</v>
      </c>
      <c r="V25" s="96">
        <f>WC!V11</f>
        <v>31.008762479006062</v>
      </c>
      <c r="W25" s="96">
        <f>WC!W11</f>
        <v>38.45292874697145</v>
      </c>
      <c r="X25" s="96">
        <f>WC!X11</f>
        <v>39.57256794221402</v>
      </c>
    </row>
    <row r="26" spans="1:24" s="66" customFormat="1" ht="12.75" outlineLevel="1">
      <c r="A26" s="80" t="s">
        <v>52</v>
      </c>
      <c r="B26" s="9"/>
      <c r="C26" s="2"/>
      <c r="D26" s="2"/>
      <c r="E26" s="96">
        <f>'Cash Flows'!E26</f>
        <v>24.04893799649369</v>
      </c>
      <c r="F26" s="96">
        <f>'Cash Flows'!F26</f>
        <v>49.21752573363324</v>
      </c>
      <c r="G26" s="96">
        <f>'Cash Flows'!G26</f>
        <v>70.97115917483255</v>
      </c>
      <c r="H26" s="96">
        <f>'Cash Flows'!H26</f>
        <v>52.19445008034138</v>
      </c>
      <c r="I26" s="96">
        <f>'Cash Flows'!I26</f>
        <v>44.66797167301504</v>
      </c>
      <c r="J26" s="96">
        <f>'Cash Flows'!J26</f>
        <v>45.724615729710315</v>
      </c>
      <c r="K26" s="96">
        <f>'Cash Flows'!K26</f>
        <v>58.20269093867188</v>
      </c>
      <c r="L26" s="96">
        <f>'Cash Flows'!L26</f>
        <v>83.88037320255515</v>
      </c>
      <c r="M26" s="96">
        <f>'Cash Flows'!M26</f>
        <v>122.35512043718015</v>
      </c>
      <c r="N26" s="96">
        <f>'Cash Flows'!N26</f>
        <v>161.78974797469738</v>
      </c>
      <c r="O26" s="96">
        <f>'Cash Flows'!O26</f>
        <v>231.47012644464877</v>
      </c>
      <c r="P26" s="96">
        <f>'Cash Flows'!P26</f>
        <v>310.453201041042</v>
      </c>
      <c r="Q26" s="96">
        <f>'Cash Flows'!Q26</f>
        <v>458.0449980053154</v>
      </c>
      <c r="R26" s="96">
        <f>'Cash Flows'!R26</f>
        <v>633.3177967900402</v>
      </c>
      <c r="S26" s="96">
        <f>'Cash Flows'!S26</f>
        <v>816.1524237219467</v>
      </c>
      <c r="T26" s="96">
        <f>'Cash Flows'!T26</f>
        <v>1022.1443049614885</v>
      </c>
      <c r="U26" s="96">
        <f>'Cash Flows'!U26</f>
        <v>1211.8122892434567</v>
      </c>
      <c r="V26" s="96">
        <f>'Cash Flows'!V26</f>
        <v>1407.717530028542</v>
      </c>
      <c r="W26" s="96">
        <f>'Cash Flows'!W26</f>
        <v>1642.758544302677</v>
      </c>
      <c r="X26" s="96">
        <f>'Cash Flows'!X26</f>
        <v>1886.8124897172072</v>
      </c>
    </row>
    <row r="27" spans="1:24" s="66" customFormat="1" ht="12.75" outlineLevel="1">
      <c r="A27" s="102" t="s">
        <v>46</v>
      </c>
      <c r="B27" s="103"/>
      <c r="C27" s="86"/>
      <c r="D27" s="86"/>
      <c r="E27" s="88">
        <f aca="true" t="shared" si="3" ref="E27:X27">SUM(E23:E26)</f>
        <v>298.44108914978943</v>
      </c>
      <c r="F27" s="88">
        <f t="shared" si="3"/>
        <v>615.3651573869065</v>
      </c>
      <c r="G27" s="88">
        <f t="shared" si="3"/>
        <v>679.0423666217165</v>
      </c>
      <c r="H27" s="88">
        <f t="shared" si="3"/>
        <v>634.0995437435458</v>
      </c>
      <c r="I27" s="88">
        <f t="shared" si="3"/>
        <v>596.8896406620038</v>
      </c>
      <c r="J27" s="88">
        <f t="shared" si="3"/>
        <v>568.3757243304551</v>
      </c>
      <c r="K27" s="88">
        <f t="shared" si="3"/>
        <v>557.0021059996284</v>
      </c>
      <c r="L27" s="88">
        <f t="shared" si="3"/>
        <v>558.3259758908928</v>
      </c>
      <c r="M27" s="88">
        <f t="shared" si="3"/>
        <v>572.5929086640949</v>
      </c>
      <c r="N27" s="88">
        <f t="shared" si="3"/>
        <v>589.0524755415486</v>
      </c>
      <c r="O27" s="88">
        <f t="shared" si="3"/>
        <v>634.8934516426942</v>
      </c>
      <c r="P27" s="88">
        <f t="shared" si="3"/>
        <v>688.7111448644007</v>
      </c>
      <c r="Q27" s="88">
        <f t="shared" si="3"/>
        <v>814.2172259901877</v>
      </c>
      <c r="R27" s="88">
        <f t="shared" si="3"/>
        <v>967.9271951754841</v>
      </c>
      <c r="S27" s="88">
        <f t="shared" si="3"/>
        <v>1125.725782991683</v>
      </c>
      <c r="T27" s="88">
        <f t="shared" si="3"/>
        <v>1311.7107617845475</v>
      </c>
      <c r="U27" s="88">
        <f t="shared" si="3"/>
        <v>1476.4486671000486</v>
      </c>
      <c r="V27" s="88">
        <f t="shared" si="3"/>
        <v>1647.410308259419</v>
      </c>
      <c r="W27" s="88">
        <f t="shared" si="3"/>
        <v>1864.0246350188972</v>
      </c>
      <c r="X27" s="88">
        <f t="shared" si="3"/>
        <v>2083.2824694378974</v>
      </c>
    </row>
    <row r="28" spans="1:24" ht="12.75" outlineLevel="1">
      <c r="A28" s="501" t="s">
        <v>53</v>
      </c>
      <c r="B28" s="179"/>
      <c r="C28" s="1"/>
      <c r="D28" s="1"/>
      <c r="E28" s="180">
        <f aca="true" t="shared" si="4" ref="E28:X28">E27-E17</f>
        <v>0</v>
      </c>
      <c r="F28" s="180">
        <f t="shared" si="4"/>
        <v>0</v>
      </c>
      <c r="G28" s="180">
        <f t="shared" si="4"/>
        <v>0</v>
      </c>
      <c r="H28" s="180">
        <f t="shared" si="4"/>
        <v>0</v>
      </c>
      <c r="I28" s="180">
        <f t="shared" si="4"/>
        <v>0</v>
      </c>
      <c r="J28" s="180">
        <f t="shared" si="4"/>
        <v>0</v>
      </c>
      <c r="K28" s="180">
        <f t="shared" si="4"/>
        <v>0</v>
      </c>
      <c r="L28" s="180">
        <f t="shared" si="4"/>
        <v>0</v>
      </c>
      <c r="M28" s="180">
        <f t="shared" si="4"/>
        <v>0</v>
      </c>
      <c r="N28" s="180">
        <f t="shared" si="4"/>
        <v>0</v>
      </c>
      <c r="O28" s="180">
        <f t="shared" si="4"/>
        <v>0</v>
      </c>
      <c r="P28" s="180">
        <f t="shared" si="4"/>
        <v>0</v>
      </c>
      <c r="Q28" s="180">
        <f t="shared" si="4"/>
        <v>0</v>
      </c>
      <c r="R28" s="180">
        <f t="shared" si="4"/>
        <v>0</v>
      </c>
      <c r="S28" s="180">
        <f t="shared" si="4"/>
        <v>0</v>
      </c>
      <c r="T28" s="180">
        <f t="shared" si="4"/>
        <v>0</v>
      </c>
      <c r="U28" s="180">
        <f t="shared" si="4"/>
        <v>0</v>
      </c>
      <c r="V28" s="180">
        <f t="shared" si="4"/>
        <v>0</v>
      </c>
      <c r="W28" s="180">
        <f t="shared" si="4"/>
        <v>0</v>
      </c>
      <c r="X28" s="180">
        <f t="shared" si="4"/>
        <v>0</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15"/>
  <dimension ref="A1:X27"/>
  <sheetViews>
    <sheetView showGridLines="0" zoomScale="140" zoomScaleNormal="14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outlineLevelRow="1"/>
  <cols>
    <col min="1" max="1" width="27.8515625" style="0" bestFit="1" customWidth="1"/>
  </cols>
  <sheetData>
    <row r="1" spans="1:3" ht="15">
      <c r="A1" s="133" t="str">
        <f>Assumptions!A1</f>
        <v>AURANGABAD WATER SUPPLY PROJECT</v>
      </c>
      <c r="B1" s="134"/>
      <c r="C1" s="134"/>
    </row>
    <row r="2" ht="12.75">
      <c r="A2" s="67"/>
    </row>
    <row r="3" spans="1:24" ht="12.75">
      <c r="A3" s="44" t="s">
        <v>54</v>
      </c>
      <c r="B3" s="45"/>
      <c r="C3" s="1"/>
      <c r="D3" s="1"/>
      <c r="E3" s="1"/>
      <c r="F3" s="1"/>
      <c r="G3" s="1"/>
      <c r="H3" s="1"/>
      <c r="I3" s="1"/>
      <c r="J3" s="1"/>
      <c r="K3" s="1"/>
      <c r="L3" s="1"/>
      <c r="M3" s="1"/>
      <c r="N3" s="1"/>
      <c r="O3" s="1"/>
      <c r="P3" s="1"/>
      <c r="Q3" s="1"/>
      <c r="R3" s="1"/>
      <c r="S3" s="1"/>
      <c r="T3" s="1"/>
      <c r="U3" s="1"/>
      <c r="V3" s="1"/>
      <c r="W3" s="1"/>
      <c r="X3" s="1"/>
    </row>
    <row r="4" spans="1:24" s="66" customFormat="1" ht="12.75">
      <c r="A4" s="95" t="str">
        <f>Assumptions!C3</f>
        <v>Rs. in Crores</v>
      </c>
      <c r="B4" s="70"/>
      <c r="C4" s="2"/>
      <c r="D4" s="2"/>
      <c r="E4" s="2"/>
      <c r="F4" s="2"/>
      <c r="G4" s="2"/>
      <c r="H4" s="2"/>
      <c r="I4" s="2"/>
      <c r="J4" s="2"/>
      <c r="K4" s="2"/>
      <c r="L4" s="2"/>
      <c r="M4" s="2"/>
      <c r="N4" s="2"/>
      <c r="O4" s="2"/>
      <c r="P4" s="2"/>
      <c r="Q4" s="2"/>
      <c r="R4" s="2"/>
      <c r="S4" s="2"/>
      <c r="T4" s="2"/>
      <c r="U4" s="2"/>
      <c r="V4" s="2"/>
      <c r="W4" s="2"/>
      <c r="X4" s="2"/>
    </row>
    <row r="5" spans="1:24" ht="12.75" outlineLevel="1">
      <c r="A5" s="4" t="s">
        <v>0</v>
      </c>
      <c r="B5" s="41"/>
      <c r="C5" s="23"/>
      <c r="D5" s="23"/>
      <c r="E5" s="4">
        <f>Assumptions!E18</f>
        <v>2012</v>
      </c>
      <c r="F5" s="4">
        <f>Assumptions!F18</f>
        <v>2013</v>
      </c>
      <c r="G5" s="4">
        <f>Assumptions!G18</f>
        <v>2014</v>
      </c>
      <c r="H5" s="4">
        <f>Assumptions!H18</f>
        <v>2015</v>
      </c>
      <c r="I5" s="4">
        <f>Assumptions!I18</f>
        <v>2016</v>
      </c>
      <c r="J5" s="4">
        <f>Assumptions!J18</f>
        <v>2017</v>
      </c>
      <c r="K5" s="4">
        <f>Assumptions!K18</f>
        <v>2018</v>
      </c>
      <c r="L5" s="4">
        <f>Assumptions!L18</f>
        <v>2019</v>
      </c>
      <c r="M5" s="4">
        <f>Assumptions!M18</f>
        <v>2020</v>
      </c>
      <c r="N5" s="4">
        <f>Assumptions!N18</f>
        <v>2021</v>
      </c>
      <c r="O5" s="4">
        <f>Assumptions!O18</f>
        <v>2022</v>
      </c>
      <c r="P5" s="4">
        <f>Assumptions!P18</f>
        <v>2023</v>
      </c>
      <c r="Q5" s="4">
        <f>Assumptions!Q18</f>
        <v>2024</v>
      </c>
      <c r="R5" s="4">
        <f>Assumptions!R18</f>
        <v>2025</v>
      </c>
      <c r="S5" s="4">
        <f>Assumptions!S18</f>
        <v>2026</v>
      </c>
      <c r="T5" s="4">
        <f>Assumptions!T18</f>
        <v>2027</v>
      </c>
      <c r="U5" s="4">
        <f>Assumptions!U18</f>
        <v>2028</v>
      </c>
      <c r="V5" s="4">
        <f>Assumptions!V18</f>
        <v>2029</v>
      </c>
      <c r="W5" s="4">
        <f>Assumptions!W18</f>
        <v>2030</v>
      </c>
      <c r="X5" s="4">
        <f>Assumptions!X18</f>
        <v>2031</v>
      </c>
    </row>
    <row r="6" spans="1:24" ht="12.75" outlineLevel="1">
      <c r="A6" s="4" t="s">
        <v>1</v>
      </c>
      <c r="B6" s="41"/>
      <c r="C6" s="23"/>
      <c r="D6" s="23"/>
      <c r="E6" s="4">
        <f>Assumptions!E19</f>
        <v>1</v>
      </c>
      <c r="F6" s="4">
        <f>Assumptions!F19</f>
        <v>2</v>
      </c>
      <c r="G6" s="4">
        <f>Assumptions!G19</f>
        <v>3</v>
      </c>
      <c r="H6" s="4">
        <f>Assumptions!H19</f>
        <v>4</v>
      </c>
      <c r="I6" s="4">
        <f>Assumptions!I19</f>
        <v>5</v>
      </c>
      <c r="J6" s="4">
        <f>Assumptions!J19</f>
        <v>6</v>
      </c>
      <c r="K6" s="4">
        <f>Assumptions!K19</f>
        <v>7</v>
      </c>
      <c r="L6" s="4">
        <f>Assumptions!L19</f>
        <v>8</v>
      </c>
      <c r="M6" s="4">
        <f>Assumptions!M19</f>
        <v>9</v>
      </c>
      <c r="N6" s="4">
        <f>Assumptions!N19</f>
        <v>10</v>
      </c>
      <c r="O6" s="4">
        <f>Assumptions!O19</f>
        <v>11</v>
      </c>
      <c r="P6" s="4">
        <f>Assumptions!P19</f>
        <v>12</v>
      </c>
      <c r="Q6" s="4">
        <f>Assumptions!Q19</f>
        <v>13</v>
      </c>
      <c r="R6" s="4">
        <f>Assumptions!R19</f>
        <v>14</v>
      </c>
      <c r="S6" s="4">
        <f>Assumptions!S19</f>
        <v>15</v>
      </c>
      <c r="T6" s="4">
        <f>Assumptions!T19</f>
        <v>16</v>
      </c>
      <c r="U6" s="4">
        <f>Assumptions!U19</f>
        <v>17</v>
      </c>
      <c r="V6" s="4">
        <f>Assumptions!V19</f>
        <v>18</v>
      </c>
      <c r="W6" s="4">
        <f>Assumptions!W19</f>
        <v>19</v>
      </c>
      <c r="X6" s="4">
        <f>Assumptions!X19</f>
        <v>20</v>
      </c>
    </row>
    <row r="7" spans="1:24" s="66" customFormat="1" ht="12.75" outlineLevel="1">
      <c r="A7" s="8"/>
      <c r="B7" s="95"/>
      <c r="C7" s="2"/>
      <c r="D7" s="2"/>
      <c r="E7" s="8"/>
      <c r="F7" s="8"/>
      <c r="G7" s="8"/>
      <c r="H7" s="8"/>
      <c r="I7" s="8"/>
      <c r="J7" s="8"/>
      <c r="K7" s="8"/>
      <c r="L7" s="8"/>
      <c r="M7" s="8"/>
      <c r="N7" s="8"/>
      <c r="O7" s="8"/>
      <c r="P7" s="8"/>
      <c r="Q7" s="8"/>
      <c r="R7" s="8"/>
      <c r="S7" s="8"/>
      <c r="T7" s="8"/>
      <c r="U7" s="8"/>
      <c r="V7" s="8"/>
      <c r="W7" s="8"/>
      <c r="X7" s="8"/>
    </row>
    <row r="8" spans="1:24" s="66" customFormat="1" ht="12.75" outlineLevel="1">
      <c r="A8" s="79" t="s">
        <v>55</v>
      </c>
      <c r="B8" s="11"/>
      <c r="C8" s="2"/>
      <c r="D8" s="2"/>
      <c r="E8" s="8"/>
      <c r="F8" s="8"/>
      <c r="G8" s="8"/>
      <c r="H8" s="8"/>
      <c r="I8" s="8"/>
      <c r="J8" s="8"/>
      <c r="K8" s="8"/>
      <c r="L8" s="8"/>
      <c r="M8" s="8"/>
      <c r="N8" s="8"/>
      <c r="O8" s="8"/>
      <c r="P8" s="8"/>
      <c r="Q8" s="8"/>
      <c r="R8" s="8"/>
      <c r="S8" s="8"/>
      <c r="T8" s="8"/>
      <c r="U8" s="8"/>
      <c r="V8" s="8"/>
      <c r="W8" s="8"/>
      <c r="X8" s="8"/>
    </row>
    <row r="9" spans="1:24" ht="12.75" outlineLevel="1">
      <c r="A9" s="80" t="s">
        <v>56</v>
      </c>
      <c r="B9" s="9"/>
      <c r="C9" s="1"/>
      <c r="D9" s="1"/>
      <c r="E9" s="28">
        <f>'P&amp;L'!E32</f>
        <v>7.098756559107095</v>
      </c>
      <c r="F9" s="28">
        <f>'P&amp;L'!F32</f>
        <v>-5.25028583769825</v>
      </c>
      <c r="G9" s="28">
        <f>'P&amp;L'!G32</f>
        <v>-13.128838673487543</v>
      </c>
      <c r="H9" s="28">
        <f>'P&amp;L'!H32</f>
        <v>-0.7224635870358114</v>
      </c>
      <c r="I9" s="28">
        <f>'P&amp;L'!I32</f>
        <v>5.5352753013907465</v>
      </c>
      <c r="J9" s="28">
        <f>'P&amp;L'!J32</f>
        <v>13.959113836905273</v>
      </c>
      <c r="K9" s="28">
        <f>'P&amp;L'!K32</f>
        <v>30.185261701285455</v>
      </c>
      <c r="L9" s="28">
        <f>'P&amp;L'!L32</f>
        <v>43.2405890479995</v>
      </c>
      <c r="M9" s="28">
        <f>'P&amp;L'!M32</f>
        <v>56.05446599654023</v>
      </c>
      <c r="N9" s="28">
        <f>'P&amp;L'!N32</f>
        <v>57.301862874772304</v>
      </c>
      <c r="O9" s="28">
        <f>'P&amp;L'!O32</f>
        <v>87.30982291127091</v>
      </c>
      <c r="P9" s="28">
        <f>'P&amp;L'!P32</f>
        <v>96.25823354405502</v>
      </c>
      <c r="Q9" s="28">
        <f>'P&amp;L'!Q32</f>
        <v>122.83813792470906</v>
      </c>
      <c r="R9" s="28">
        <f>'P&amp;L'!R32</f>
        <v>150.6247345116634</v>
      </c>
      <c r="S9" s="28">
        <f>'P&amp;L'!S32</f>
        <v>157.29187714685034</v>
      </c>
      <c r="T9" s="28">
        <f>'P&amp;L'!T32</f>
        <v>181.67871333217226</v>
      </c>
      <c r="U9" s="28">
        <f>'P&amp;L'!U32</f>
        <v>164.09493484060175</v>
      </c>
      <c r="V9" s="28">
        <f>'P&amp;L'!V32</f>
        <v>170.2982694046545</v>
      </c>
      <c r="W9" s="28">
        <f>'P&amp;L'!W32</f>
        <v>211.03120205850433</v>
      </c>
      <c r="X9" s="28">
        <f>'P&amp;L'!X32</f>
        <v>218.4181050225681</v>
      </c>
    </row>
    <row r="10" spans="1:24" ht="12.75" outlineLevel="1">
      <c r="A10" s="81" t="s">
        <v>57</v>
      </c>
      <c r="B10" s="82"/>
      <c r="C10" s="1"/>
      <c r="D10" s="1"/>
      <c r="E10" s="28">
        <f>'Balance Sheet'!E9</f>
        <v>107.59349608949572</v>
      </c>
      <c r="F10" s="28">
        <f>'Balance Sheet'!F9-'Balance Sheet'!E9</f>
        <v>134.74614199727338</v>
      </c>
      <c r="G10" s="28">
        <f>'Balance Sheet'!G9-'Balance Sheet'!F9</f>
        <v>57.14563747763921</v>
      </c>
      <c r="H10" s="28">
        <f>'Balance Sheet'!H9-'Balance Sheet'!G9</f>
        <v>0</v>
      </c>
      <c r="I10" s="28">
        <f>'Balance Sheet'!I9-'Balance Sheet'!H9</f>
        <v>0</v>
      </c>
      <c r="J10" s="28">
        <f>'Balance Sheet'!J9-'Balance Sheet'!I9</f>
        <v>0</v>
      </c>
      <c r="K10" s="28">
        <f>'Balance Sheet'!K9-'Balance Sheet'!J9</f>
        <v>0</v>
      </c>
      <c r="L10" s="28">
        <f>'Balance Sheet'!L9-'Balance Sheet'!K9</f>
        <v>0</v>
      </c>
      <c r="M10" s="28">
        <f>'Balance Sheet'!M9-'Balance Sheet'!L9</f>
        <v>0</v>
      </c>
      <c r="N10" s="28">
        <f>'Balance Sheet'!N9-'Balance Sheet'!M9</f>
        <v>0</v>
      </c>
      <c r="O10" s="28">
        <f>'Balance Sheet'!O9-'Balance Sheet'!N9</f>
        <v>0</v>
      </c>
      <c r="P10" s="28">
        <f>'Balance Sheet'!P9-'Balance Sheet'!O9</f>
        <v>0</v>
      </c>
      <c r="Q10" s="28">
        <f>'Balance Sheet'!Q9-'Balance Sheet'!P9</f>
        <v>0</v>
      </c>
      <c r="R10" s="28">
        <f>'Balance Sheet'!R9-'Balance Sheet'!Q9</f>
        <v>0</v>
      </c>
      <c r="S10" s="28">
        <f>'Balance Sheet'!S9-'Balance Sheet'!R9</f>
        <v>0</v>
      </c>
      <c r="T10" s="28">
        <f>'Balance Sheet'!T9-'Balance Sheet'!S9</f>
        <v>0</v>
      </c>
      <c r="U10" s="28">
        <f>'Balance Sheet'!U9-'Balance Sheet'!T9</f>
        <v>0</v>
      </c>
      <c r="V10" s="28">
        <f>'Balance Sheet'!V9-'Balance Sheet'!U9</f>
        <v>0</v>
      </c>
      <c r="W10" s="28">
        <f>'Balance Sheet'!W9-'Balance Sheet'!V9</f>
        <v>0</v>
      </c>
      <c r="X10" s="28">
        <f>'Balance Sheet'!X9-'Balance Sheet'!W9</f>
        <v>0</v>
      </c>
    </row>
    <row r="11" spans="1:24" ht="12.75" outlineLevel="1">
      <c r="A11" s="81" t="s">
        <v>58</v>
      </c>
      <c r="B11" s="82"/>
      <c r="C11" s="1"/>
      <c r="D11" s="1"/>
      <c r="E11" s="28">
        <f>'Term Loan'!F15</f>
        <v>179.03557749292088</v>
      </c>
      <c r="F11" s="28">
        <f>'Term Loan'!F20</f>
        <v>186.9781801649354</v>
      </c>
      <c r="G11" s="28">
        <f>'Term Loan'!F25</f>
        <v>18.959479169957536</v>
      </c>
      <c r="H11" s="28">
        <f>'Term Loan'!F30</f>
        <v>0</v>
      </c>
      <c r="I11" s="28">
        <f>'Term Loan'!F35</f>
        <v>0</v>
      </c>
      <c r="J11" s="28">
        <f>'Term Loan'!F40</f>
        <v>0</v>
      </c>
      <c r="K11" s="28">
        <f>'Term Loan'!F45</f>
        <v>0</v>
      </c>
      <c r="L11" s="28">
        <f>'Term Loan'!F50</f>
        <v>0</v>
      </c>
      <c r="M11" s="28">
        <f>'Term Loan'!F55</f>
        <v>0</v>
      </c>
      <c r="N11" s="28">
        <f>'Term Loan'!F60</f>
        <v>0</v>
      </c>
      <c r="O11" s="28">
        <v>0</v>
      </c>
      <c r="P11" s="28">
        <v>0</v>
      </c>
      <c r="Q11" s="28">
        <v>0</v>
      </c>
      <c r="R11" s="28">
        <v>0</v>
      </c>
      <c r="S11" s="28">
        <v>0</v>
      </c>
      <c r="T11" s="28">
        <v>0</v>
      </c>
      <c r="U11" s="28">
        <v>0</v>
      </c>
      <c r="V11" s="28">
        <v>0</v>
      </c>
      <c r="W11" s="28">
        <v>0</v>
      </c>
      <c r="X11" s="28">
        <v>0</v>
      </c>
    </row>
    <row r="12" spans="1:24" ht="12.75" outlineLevel="1">
      <c r="A12" s="80" t="s">
        <v>59</v>
      </c>
      <c r="B12" s="9"/>
      <c r="C12" s="1"/>
      <c r="D12" s="1"/>
      <c r="E12" s="28">
        <f>'P&amp;L'!E20</f>
        <v>14.33145367912083</v>
      </c>
      <c r="F12" s="28">
        <f>'P&amp;L'!F20</f>
        <v>30.41766978723127</v>
      </c>
      <c r="G12" s="28">
        <f>'P&amp;L'!G20</f>
        <v>34.22292561961111</v>
      </c>
      <c r="H12" s="28">
        <f>'P&amp;L'!H20</f>
        <v>34.47292561961111</v>
      </c>
      <c r="I12" s="28">
        <f>'P&amp;L'!I20</f>
        <v>34.72292561961111</v>
      </c>
      <c r="J12" s="28">
        <f>'P&amp;L'!J20</f>
        <v>34.97292561961111</v>
      </c>
      <c r="K12" s="28">
        <f>'P&amp;L'!K20</f>
        <v>35.47292561961111</v>
      </c>
      <c r="L12" s="28">
        <f>'P&amp;L'!L20</f>
        <v>35.99792561961111</v>
      </c>
      <c r="M12" s="28">
        <f>'P&amp;L'!M20</f>
        <v>36.549175619611106</v>
      </c>
      <c r="N12" s="28">
        <f>'P&amp;L'!N20</f>
        <v>37.1279881196111</v>
      </c>
      <c r="O12" s="28">
        <f>'P&amp;L'!O20</f>
        <v>37.735741244611106</v>
      </c>
      <c r="P12" s="28">
        <f>'P&amp;L'!P20</f>
        <v>38.37388202586111</v>
      </c>
      <c r="Q12" s="28">
        <f>'P&amp;L'!Q20</f>
        <v>39.043929846173604</v>
      </c>
      <c r="R12" s="28">
        <f>'P&amp;L'!R20</f>
        <v>39.74748005750173</v>
      </c>
      <c r="S12" s="28">
        <f>'P&amp;L'!S20</f>
        <v>40.48620777939627</v>
      </c>
      <c r="T12" s="28">
        <f>'P&amp;L'!T20</f>
        <v>41.261871887385524</v>
      </c>
      <c r="U12" s="28">
        <f>'P&amp;L'!U20</f>
        <v>42.07631920077424</v>
      </c>
      <c r="V12" s="28">
        <f>'P&amp;L'!V20</f>
        <v>42.9314888798324</v>
      </c>
      <c r="W12" s="28">
        <f>'P&amp;L'!W20</f>
        <v>43.82941704284347</v>
      </c>
      <c r="X12" s="28">
        <f>'P&amp;L'!X20</f>
        <v>44.77224161400508</v>
      </c>
    </row>
    <row r="13" spans="1:24" ht="12.75" outlineLevel="1">
      <c r="A13" s="80" t="s">
        <v>60</v>
      </c>
      <c r="B13" s="9"/>
      <c r="C13" s="1"/>
      <c r="D13" s="1"/>
      <c r="E13" s="28">
        <f>'Balance Sheet'!E16</f>
        <v>0</v>
      </c>
      <c r="F13" s="28">
        <f>'Balance Sheet'!F16-'Balance Sheet'!E16</f>
        <v>0</v>
      </c>
      <c r="G13" s="28">
        <f>'Balance Sheet'!G16-'Balance Sheet'!F16</f>
        <v>0</v>
      </c>
      <c r="H13" s="28">
        <f>'Balance Sheet'!H16-'Balance Sheet'!G16</f>
        <v>0.8468412089987225</v>
      </c>
      <c r="I13" s="28">
        <f>'Balance Sheet'!I16-'Balance Sheet'!H16</f>
        <v>-0.1620110523695406</v>
      </c>
      <c r="J13" s="28">
        <f>'Balance Sheet'!J16-'Balance Sheet'!I16</f>
        <v>0.0887532178436643</v>
      </c>
      <c r="K13" s="28">
        <f>'Balance Sheet'!K16-'Balance Sheet'!J16</f>
        <v>1.0089130005558369</v>
      </c>
      <c r="L13" s="28">
        <f>'Balance Sheet'!L16-'Balance Sheet'!K16</f>
        <v>0.6118023489437852</v>
      </c>
      <c r="M13" s="28">
        <f>'Balance Sheet'!M16-'Balance Sheet'!L16</f>
        <v>0.750825128601476</v>
      </c>
      <c r="N13" s="28">
        <f>'Balance Sheet'!N16-'Balance Sheet'!M16</f>
        <v>0.6288055926781224</v>
      </c>
      <c r="O13" s="28">
        <f>'Balance Sheet'!O16-'Balance Sheet'!N16</f>
        <v>1.0014441639093445</v>
      </c>
      <c r="P13" s="28">
        <f>'Balance Sheet'!P16-'Balance Sheet'!O16</f>
        <v>0.01206783379092613</v>
      </c>
      <c r="Q13" s="28">
        <f>'Balance Sheet'!Q16-'Balance Sheet'!P16</f>
        <v>2.322033325175143</v>
      </c>
      <c r="R13" s="28">
        <f>'Balance Sheet'!R16-'Balance Sheet'!Q16</f>
        <v>2.687492588831116</v>
      </c>
      <c r="S13" s="28">
        <f>'Balance Sheet'!S16-'Balance Sheet'!R16</f>
        <v>0.14134868262348732</v>
      </c>
      <c r="T13" s="28">
        <f>'Balance Sheet'!T16-'Balance Sheet'!S16</f>
        <v>3.903439920066557</v>
      </c>
      <c r="U13" s="28">
        <f>'Balance Sheet'!U16-'Balance Sheet'!T16</f>
        <v>0.24689528390248938</v>
      </c>
      <c r="V13" s="28">
        <f>'Balance Sheet'!V16-'Balance Sheet'!U16</f>
        <v>0.18188033529602166</v>
      </c>
      <c r="W13" s="28">
        <f>'Balance Sheet'!W16-'Balance Sheet'!V16</f>
        <v>5.0389387340691805</v>
      </c>
      <c r="X13" s="28">
        <f>'Balance Sheet'!X16-'Balance Sheet'!W16</f>
        <v>0.24965384238348065</v>
      </c>
    </row>
    <row r="14" spans="1:24" ht="12.75" outlineLevel="1">
      <c r="A14" s="80" t="s">
        <v>61</v>
      </c>
      <c r="B14" s="9"/>
      <c r="C14" s="1"/>
      <c r="D14" s="1"/>
      <c r="E14" s="28">
        <f>'Balance Sheet'!E15</f>
        <v>4.713259008265773</v>
      </c>
      <c r="F14" s="16">
        <f>'Balance Sheet'!F15-'Balance Sheet'!E15</f>
        <v>0.4500319126064767</v>
      </c>
      <c r="G14" s="16">
        <f>'Balance Sheet'!G15-'Balance Sheet'!F15</f>
        <v>0.7009312607007869</v>
      </c>
      <c r="H14" s="16">
        <f>'Balance Sheet'!H15-'Balance Sheet'!G15</f>
        <v>-2.2923964081543793</v>
      </c>
      <c r="I14" s="16">
        <f>'Balance Sheet'!I15-'Balance Sheet'!H15</f>
        <v>0.19163676141620822</v>
      </c>
      <c r="J14" s="16">
        <f>'Balance Sheet'!J15-'Balance Sheet'!I15</f>
        <v>0.21302070568176212</v>
      </c>
      <c r="K14" s="16">
        <f>'Balance Sheet'!K15-'Balance Sheet'!J15</f>
        <v>0.20701105931125108</v>
      </c>
      <c r="L14" s="16">
        <f>'Balance Sheet'!L15-'Balance Sheet'!K15</f>
        <v>0.24628258630036548</v>
      </c>
      <c r="M14" s="16">
        <f>'Balance Sheet'!M15-'Balance Sheet'!L15</f>
        <v>0.23644574003969066</v>
      </c>
      <c r="N14" s="16">
        <f>'Balance Sheet'!N15-'Balance Sheet'!M15</f>
        <v>1.303702501982575</v>
      </c>
      <c r="O14" s="16">
        <f>'Balance Sheet'!O15-'Balance Sheet'!N15</f>
        <v>0.30451311794469227</v>
      </c>
      <c r="P14" s="16">
        <f>'Balance Sheet'!P15-'Balance Sheet'!O15</f>
        <v>0.3221959358398383</v>
      </c>
      <c r="Q14" s="16">
        <f>'Balance Sheet'!Q15-'Balance Sheet'!P15</f>
        <v>0.34590987590280253</v>
      </c>
      <c r="R14" s="16">
        <f>'Balance Sheet'!R15-'Balance Sheet'!Q15</f>
        <v>0.3977420848019646</v>
      </c>
      <c r="S14" s="16">
        <f>'Balance Sheet'!S15-'Balance Sheet'!R15</f>
        <v>0.36536198672496134</v>
      </c>
      <c r="T14" s="16">
        <f>'Balance Sheet'!T15-'Balance Sheet'!S15</f>
        <v>0.4028255406257317</v>
      </c>
      <c r="U14" s="16">
        <f>'Balance Sheet'!U15-'Balance Sheet'!T15</f>
        <v>0.39607519099713784</v>
      </c>
      <c r="V14" s="16">
        <f>'Balance Sheet'!V15-'Balance Sheet'!U15</f>
        <v>0.48149141941975593</v>
      </c>
      <c r="W14" s="16">
        <f>'Balance Sheet'!W15-'Balance Sheet'!V15</f>
        <v>0.5441859669048608</v>
      </c>
      <c r="X14" s="16">
        <f>'Balance Sheet'!X15-'Balance Sheet'!W15</f>
        <v>0.5900755540484504</v>
      </c>
    </row>
    <row r="15" spans="1:24" s="66" customFormat="1" ht="12.75" outlineLevel="1">
      <c r="A15" s="79" t="s">
        <v>62</v>
      </c>
      <c r="B15" s="50"/>
      <c r="C15" s="50"/>
      <c r="D15" s="50"/>
      <c r="E15" s="87">
        <f aca="true" t="shared" si="0" ref="E15:X15">SUM(E9:E14)</f>
        <v>312.7725428289103</v>
      </c>
      <c r="F15" s="87">
        <f t="shared" si="0"/>
        <v>347.3417380243483</v>
      </c>
      <c r="G15" s="87">
        <f t="shared" si="0"/>
        <v>97.9001348544211</v>
      </c>
      <c r="H15" s="87">
        <f t="shared" si="0"/>
        <v>32.30490683341964</v>
      </c>
      <c r="I15" s="87">
        <f t="shared" si="0"/>
        <v>40.28782663004852</v>
      </c>
      <c r="J15" s="87">
        <f t="shared" si="0"/>
        <v>49.233813380041816</v>
      </c>
      <c r="K15" s="87">
        <f t="shared" si="0"/>
        <v>66.87411138076365</v>
      </c>
      <c r="L15" s="87">
        <f t="shared" si="0"/>
        <v>80.09659960285477</v>
      </c>
      <c r="M15" s="87">
        <f t="shared" si="0"/>
        <v>93.5909124847925</v>
      </c>
      <c r="N15" s="87">
        <f t="shared" si="0"/>
        <v>96.36235908904409</v>
      </c>
      <c r="O15" s="87">
        <f t="shared" si="0"/>
        <v>126.35152143773605</v>
      </c>
      <c r="P15" s="87">
        <f t="shared" si="0"/>
        <v>134.96637933954688</v>
      </c>
      <c r="Q15" s="87">
        <f t="shared" si="0"/>
        <v>164.5500109719606</v>
      </c>
      <c r="R15" s="87">
        <f t="shared" si="0"/>
        <v>193.4574492427982</v>
      </c>
      <c r="S15" s="87">
        <f t="shared" si="0"/>
        <v>198.28479559559506</v>
      </c>
      <c r="T15" s="87">
        <f t="shared" si="0"/>
        <v>227.24685068025008</v>
      </c>
      <c r="U15" s="87">
        <f t="shared" si="0"/>
        <v>206.8142245162756</v>
      </c>
      <c r="V15" s="87">
        <f t="shared" si="0"/>
        <v>213.89313003920267</v>
      </c>
      <c r="W15" s="87">
        <f t="shared" si="0"/>
        <v>260.4437438023219</v>
      </c>
      <c r="X15" s="87">
        <f t="shared" si="0"/>
        <v>264.0300760330051</v>
      </c>
    </row>
    <row r="16" spans="1:24" ht="12.75" outlineLevel="1">
      <c r="A16" s="83"/>
      <c r="B16" s="9"/>
      <c r="C16" s="1"/>
      <c r="D16" s="1"/>
      <c r="E16" s="1"/>
      <c r="F16" s="1"/>
      <c r="G16" s="1"/>
      <c r="H16" s="1"/>
      <c r="I16" s="1"/>
      <c r="J16" s="1"/>
      <c r="K16" s="1"/>
      <c r="L16" s="1"/>
      <c r="M16" s="1"/>
      <c r="N16" s="1"/>
      <c r="O16" s="1"/>
      <c r="P16" s="1"/>
      <c r="Q16" s="1"/>
      <c r="R16" s="1"/>
      <c r="S16" s="1"/>
      <c r="T16" s="1"/>
      <c r="U16" s="1"/>
      <c r="V16" s="1"/>
      <c r="W16" s="1"/>
      <c r="X16" s="1"/>
    </row>
    <row r="17" spans="1:24" ht="12.75" outlineLevel="1">
      <c r="A17" s="79" t="s">
        <v>63</v>
      </c>
      <c r="B17" s="11"/>
      <c r="C17" s="1"/>
      <c r="D17" s="1"/>
      <c r="E17" s="1"/>
      <c r="F17" s="1"/>
      <c r="G17" s="1"/>
      <c r="H17" s="1"/>
      <c r="I17" s="1"/>
      <c r="J17" s="1"/>
      <c r="K17" s="1"/>
      <c r="L17" s="1"/>
      <c r="M17" s="1"/>
      <c r="N17" s="1"/>
      <c r="O17" s="1"/>
      <c r="P17" s="1"/>
      <c r="Q17" s="1"/>
      <c r="R17" s="1"/>
      <c r="S17" s="1"/>
      <c r="T17" s="1"/>
      <c r="U17" s="1"/>
      <c r="V17" s="1"/>
      <c r="W17" s="1"/>
      <c r="X17" s="1"/>
    </row>
    <row r="18" spans="1:24" ht="12.75" outlineLevel="1">
      <c r="A18" s="80" t="s">
        <v>64</v>
      </c>
      <c r="B18" s="9"/>
      <c r="C18" s="1"/>
      <c r="D18" s="1"/>
      <c r="E18" s="14">
        <f>'Balance Sheet'!E21</f>
        <v>286.6290735824166</v>
      </c>
      <c r="F18" s="14">
        <f>'Balance Sheet'!F21-'Balance Sheet'!E21</f>
        <v>321.72432216220875</v>
      </c>
      <c r="G18" s="14">
        <f>'Balance Sheet'!G21-'Balance Sheet'!F21</f>
        <v>76.10511664759679</v>
      </c>
      <c r="H18" s="14">
        <f>'Balance Sheet'!H21-'Balance Sheet'!G21</f>
        <v>5</v>
      </c>
      <c r="I18" s="14">
        <f>'Balance Sheet'!I21-'Balance Sheet'!H21</f>
        <v>5</v>
      </c>
      <c r="J18" s="14">
        <f>'Balance Sheet'!J21-'Balance Sheet'!I21</f>
        <v>5</v>
      </c>
      <c r="K18" s="14">
        <f>'Balance Sheet'!K21-'Balance Sheet'!J21</f>
        <v>10</v>
      </c>
      <c r="L18" s="14">
        <f>'Balance Sheet'!L21-'Balance Sheet'!K21</f>
        <v>10.5</v>
      </c>
      <c r="M18" s="14">
        <f>'Balance Sheet'!M21-'Balance Sheet'!L21</f>
        <v>11.024999999999977</v>
      </c>
      <c r="N18" s="14">
        <f>'Balance Sheet'!N21-'Balance Sheet'!M21</f>
        <v>11.576249999999959</v>
      </c>
      <c r="O18" s="14">
        <f>'Balance Sheet'!O21-'Balance Sheet'!N21</f>
        <v>12.155062499999985</v>
      </c>
      <c r="P18" s="14">
        <f>'Balance Sheet'!P21-'Balance Sheet'!O21</f>
        <v>12.76281562500003</v>
      </c>
      <c r="Q18" s="14">
        <f>'Balance Sheet'!Q21-'Balance Sheet'!P21</f>
        <v>13.400956406249975</v>
      </c>
      <c r="R18" s="14">
        <f>'Balance Sheet'!R21-'Balance Sheet'!Q21</f>
        <v>14.071004226562536</v>
      </c>
      <c r="S18" s="14">
        <f>'Balance Sheet'!S21-'Balance Sheet'!R21</f>
        <v>14.774554437890629</v>
      </c>
      <c r="T18" s="14">
        <f>'Balance Sheet'!T21-'Balance Sheet'!S21</f>
        <v>15.513282159785149</v>
      </c>
      <c r="U18" s="14">
        <f>'Balance Sheet'!U21-'Balance Sheet'!T21</f>
        <v>16.288946267774463</v>
      </c>
      <c r="V18" s="14">
        <f>'Balance Sheet'!V21-'Balance Sheet'!U21</f>
        <v>17.103393581163118</v>
      </c>
      <c r="W18" s="14">
        <f>'Balance Sheet'!W21-'Balance Sheet'!V21</f>
        <v>17.958563260221354</v>
      </c>
      <c r="X18" s="14">
        <f>'Balance Sheet'!X21-'Balance Sheet'!W21</f>
        <v>18.85649142323234</v>
      </c>
    </row>
    <row r="19" spans="1:24" ht="12.75" outlineLevel="1">
      <c r="A19" s="80" t="s">
        <v>65</v>
      </c>
      <c r="B19" s="9"/>
      <c r="C19" s="1"/>
      <c r="D19" s="1"/>
      <c r="E19" s="28">
        <f>'Term Loan'!G15</f>
        <v>0</v>
      </c>
      <c r="F19" s="28">
        <f>'Term Loan'!G20</f>
        <v>0</v>
      </c>
      <c r="G19" s="28">
        <f>'Term Loan'!G25</f>
        <v>0</v>
      </c>
      <c r="H19" s="38">
        <f>'Term Loan'!G30</f>
        <v>42.774804091979306</v>
      </c>
      <c r="I19" s="38">
        <f>'Term Loan'!G35</f>
        <v>42.774804091979306</v>
      </c>
      <c r="J19" s="38">
        <f>'Term Loan'!G40</f>
        <v>42.774804091979306</v>
      </c>
      <c r="K19" s="38">
        <f>'Term Loan'!G45</f>
        <v>42.774804091979306</v>
      </c>
      <c r="L19" s="38">
        <f>'Term Loan'!G50</f>
        <v>42.774804091979306</v>
      </c>
      <c r="M19" s="38">
        <f>'Term Loan'!G55</f>
        <v>42.774804091979306</v>
      </c>
      <c r="N19" s="38">
        <f>'Term Loan'!G60</f>
        <v>42.774804091979306</v>
      </c>
      <c r="O19" s="38">
        <f>'Term Loan'!G65</f>
        <v>42.774804091979306</v>
      </c>
      <c r="P19" s="38">
        <f>'Term Loan'!G70</f>
        <v>42.774804091979256</v>
      </c>
      <c r="Q19" s="38">
        <f>'Term Loan'!G75</f>
        <v>0</v>
      </c>
      <c r="R19" s="38">
        <f>'Term Loan'!G80</f>
        <v>0</v>
      </c>
      <c r="S19" s="38">
        <v>0</v>
      </c>
      <c r="T19" s="38">
        <v>0</v>
      </c>
      <c r="U19" s="38">
        <v>0</v>
      </c>
      <c r="V19" s="38">
        <v>0</v>
      </c>
      <c r="W19" s="38">
        <v>0</v>
      </c>
      <c r="X19" s="38">
        <v>0</v>
      </c>
    </row>
    <row r="20" spans="1:24" ht="12.75" outlineLevel="1">
      <c r="A20" s="80" t="s">
        <v>66</v>
      </c>
      <c r="B20" s="9"/>
      <c r="C20" s="1"/>
      <c r="D20" s="1"/>
      <c r="E20" s="28">
        <f>'Balance Sheet'!E25</f>
        <v>2.09453125</v>
      </c>
      <c r="F20" s="28">
        <f>'Balance Sheet'!F25-'Balance Sheet'!E25</f>
        <v>0.44882812500000036</v>
      </c>
      <c r="G20" s="28">
        <f>'Balance Sheet'!G25-'Balance Sheet'!F25</f>
        <v>0.04138476562499971</v>
      </c>
      <c r="H20" s="28">
        <f>'Balance Sheet'!H25-'Balance Sheet'!G25</f>
        <v>3.306811835931506</v>
      </c>
      <c r="I20" s="28">
        <f>'Balance Sheet'!I25-'Balance Sheet'!H25</f>
        <v>0.03950094539555682</v>
      </c>
      <c r="J20" s="28">
        <f>'Balance Sheet'!J25-'Balance Sheet'!I25</f>
        <v>0.40236523136723523</v>
      </c>
      <c r="K20" s="28">
        <f>'Balance Sheet'!K25-'Balance Sheet'!J25</f>
        <v>1.621232079822784</v>
      </c>
      <c r="L20" s="28">
        <f>'Balance Sheet'!L25-'Balance Sheet'!K25</f>
        <v>1.1441132469922008</v>
      </c>
      <c r="M20" s="28">
        <f>'Balance Sheet'!M25-'Balance Sheet'!L25</f>
        <v>1.3163611581882222</v>
      </c>
      <c r="N20" s="28">
        <f>'Balance Sheet'!N25-'Balance Sheet'!M25</f>
        <v>2.5766774595475965</v>
      </c>
      <c r="O20" s="28">
        <f>'Balance Sheet'!O25-'Balance Sheet'!N25</f>
        <v>1.7412763758053842</v>
      </c>
      <c r="P20" s="28">
        <f>'Balance Sheet'!P25-'Balance Sheet'!O25</f>
        <v>0.445685026174349</v>
      </c>
      <c r="Q20" s="28">
        <f>'Balance Sheet'!Q25-'Balance Sheet'!P25</f>
        <v>3.5572576014372626</v>
      </c>
      <c r="R20" s="28">
        <f>'Balance Sheet'!R25-'Balance Sheet'!Q25</f>
        <v>4.113646231510774</v>
      </c>
      <c r="S20" s="28">
        <f>'Balance Sheet'!S25-'Balance Sheet'!R25</f>
        <v>0.6756142257979292</v>
      </c>
      <c r="T20" s="28">
        <f>'Balance Sheet'!T25-'Balance Sheet'!S25</f>
        <v>5.741687280923056</v>
      </c>
      <c r="U20" s="28">
        <f>'Balance Sheet'!U25-'Balance Sheet'!T25</f>
        <v>0.8572939665328327</v>
      </c>
      <c r="V20" s="28">
        <f>'Balance Sheet'!V25-'Balance Sheet'!U25</f>
        <v>0.8844956729543725</v>
      </c>
      <c r="W20" s="28">
        <f>'Balance Sheet'!W25-'Balance Sheet'!V25</f>
        <v>7.4441662679653895</v>
      </c>
      <c r="X20" s="28">
        <f>'Balance Sheet'!X25-'Balance Sheet'!W25</f>
        <v>1.11963919524257</v>
      </c>
    </row>
    <row r="21" spans="1:24" s="66" customFormat="1" ht="12.75" outlineLevel="1">
      <c r="A21" s="79" t="s">
        <v>67</v>
      </c>
      <c r="B21" s="84"/>
      <c r="C21" s="84"/>
      <c r="D21" s="50"/>
      <c r="E21" s="88">
        <f aca="true" t="shared" si="1" ref="E21:X21">SUM(E18:E20)</f>
        <v>288.7236048324166</v>
      </c>
      <c r="F21" s="88">
        <f t="shared" si="1"/>
        <v>322.1731502872087</v>
      </c>
      <c r="G21" s="88">
        <f t="shared" si="1"/>
        <v>76.14650141322178</v>
      </c>
      <c r="H21" s="88">
        <f t="shared" si="1"/>
        <v>51.08161592791081</v>
      </c>
      <c r="I21" s="88">
        <f t="shared" si="1"/>
        <v>47.814305037374865</v>
      </c>
      <c r="J21" s="88">
        <f t="shared" si="1"/>
        <v>48.17716932334654</v>
      </c>
      <c r="K21" s="88">
        <f t="shared" si="1"/>
        <v>54.39603617180209</v>
      </c>
      <c r="L21" s="88">
        <f t="shared" si="1"/>
        <v>54.418917338971504</v>
      </c>
      <c r="M21" s="88">
        <f t="shared" si="1"/>
        <v>55.116165250167505</v>
      </c>
      <c r="N21" s="88">
        <f t="shared" si="1"/>
        <v>56.92773155152686</v>
      </c>
      <c r="O21" s="88">
        <f t="shared" si="1"/>
        <v>56.671142967784675</v>
      </c>
      <c r="P21" s="88">
        <f t="shared" si="1"/>
        <v>55.98330474315364</v>
      </c>
      <c r="Q21" s="88">
        <f t="shared" si="1"/>
        <v>16.95821400768724</v>
      </c>
      <c r="R21" s="88">
        <f t="shared" si="1"/>
        <v>18.18465045807331</v>
      </c>
      <c r="S21" s="88">
        <f t="shared" si="1"/>
        <v>15.450168663688558</v>
      </c>
      <c r="T21" s="88">
        <f t="shared" si="1"/>
        <v>21.254969440708205</v>
      </c>
      <c r="U21" s="88">
        <f t="shared" si="1"/>
        <v>17.146240234307296</v>
      </c>
      <c r="V21" s="88">
        <f t="shared" si="1"/>
        <v>17.98788925411749</v>
      </c>
      <c r="W21" s="88">
        <f t="shared" si="1"/>
        <v>25.402729528186743</v>
      </c>
      <c r="X21" s="88">
        <f t="shared" si="1"/>
        <v>19.97613061847491</v>
      </c>
    </row>
    <row r="22" spans="1:24" ht="12.75" outlineLevel="1">
      <c r="A22" s="80"/>
      <c r="B22" s="9"/>
      <c r="C22" s="1"/>
      <c r="D22" s="1"/>
      <c r="E22" s="1"/>
      <c r="F22" s="1"/>
      <c r="G22" s="1"/>
      <c r="H22" s="1"/>
      <c r="I22" s="1"/>
      <c r="J22" s="1"/>
      <c r="K22" s="1"/>
      <c r="L22" s="1"/>
      <c r="M22" s="1"/>
      <c r="N22" s="1"/>
      <c r="O22" s="1"/>
      <c r="P22" s="1"/>
      <c r="Q22" s="1"/>
      <c r="R22" s="1"/>
      <c r="S22" s="1"/>
      <c r="T22" s="1"/>
      <c r="U22" s="1"/>
      <c r="V22" s="1"/>
      <c r="W22" s="1"/>
      <c r="X22" s="1"/>
    </row>
    <row r="23" spans="1:24" ht="12.75" outlineLevel="1">
      <c r="A23" s="80" t="s">
        <v>68</v>
      </c>
      <c r="B23" s="9"/>
      <c r="C23" s="1"/>
      <c r="D23" s="1"/>
      <c r="E23" s="1"/>
      <c r="F23" s="1"/>
      <c r="G23" s="1"/>
      <c r="H23" s="1"/>
      <c r="I23" s="1"/>
      <c r="J23" s="1"/>
      <c r="K23" s="1"/>
      <c r="L23" s="1"/>
      <c r="M23" s="1"/>
      <c r="N23" s="1"/>
      <c r="O23" s="1"/>
      <c r="P23" s="1"/>
      <c r="Q23" s="1"/>
      <c r="R23" s="1"/>
      <c r="S23" s="1"/>
      <c r="T23" s="1"/>
      <c r="U23" s="1"/>
      <c r="V23" s="1"/>
      <c r="W23" s="1"/>
      <c r="X23" s="1"/>
    </row>
    <row r="24" spans="1:24" ht="12.75" outlineLevel="1">
      <c r="A24" s="80" t="s">
        <v>69</v>
      </c>
      <c r="B24" s="9"/>
      <c r="C24" s="1"/>
      <c r="D24" s="1"/>
      <c r="E24" s="46">
        <f>0</f>
        <v>0</v>
      </c>
      <c r="F24" s="28">
        <f aca="true" t="shared" si="2" ref="F24:X24">E26</f>
        <v>24.04893799649369</v>
      </c>
      <c r="G24" s="28">
        <f t="shared" si="2"/>
        <v>49.21752573363324</v>
      </c>
      <c r="H24" s="28">
        <f t="shared" si="2"/>
        <v>70.97115917483255</v>
      </c>
      <c r="I24" s="28">
        <f t="shared" si="2"/>
        <v>52.19445008034138</v>
      </c>
      <c r="J24" s="28">
        <f t="shared" si="2"/>
        <v>44.66797167301504</v>
      </c>
      <c r="K24" s="28">
        <f t="shared" si="2"/>
        <v>45.724615729710315</v>
      </c>
      <c r="L24" s="28">
        <f t="shared" si="2"/>
        <v>58.20269093867188</v>
      </c>
      <c r="M24" s="28">
        <f t="shared" si="2"/>
        <v>83.88037320255515</v>
      </c>
      <c r="N24" s="28">
        <f t="shared" si="2"/>
        <v>122.35512043718015</v>
      </c>
      <c r="O24" s="28">
        <f t="shared" si="2"/>
        <v>161.78974797469738</v>
      </c>
      <c r="P24" s="28">
        <f t="shared" si="2"/>
        <v>231.47012644464877</v>
      </c>
      <c r="Q24" s="28">
        <f t="shared" si="2"/>
        <v>310.453201041042</v>
      </c>
      <c r="R24" s="28">
        <f t="shared" si="2"/>
        <v>458.0449980053154</v>
      </c>
      <c r="S24" s="28">
        <f t="shared" si="2"/>
        <v>633.3177967900402</v>
      </c>
      <c r="T24" s="28">
        <f t="shared" si="2"/>
        <v>816.1524237219467</v>
      </c>
      <c r="U24" s="28">
        <f t="shared" si="2"/>
        <v>1022.1443049614885</v>
      </c>
      <c r="V24" s="28">
        <f t="shared" si="2"/>
        <v>1211.8122892434567</v>
      </c>
      <c r="W24" s="28">
        <f t="shared" si="2"/>
        <v>1407.717530028542</v>
      </c>
      <c r="X24" s="28">
        <f t="shared" si="2"/>
        <v>1642.758544302677</v>
      </c>
    </row>
    <row r="25" spans="1:24" s="66" customFormat="1" ht="12.75" outlineLevel="1">
      <c r="A25" s="85" t="s">
        <v>70</v>
      </c>
      <c r="B25" s="9"/>
      <c r="C25" s="2"/>
      <c r="D25" s="2"/>
      <c r="E25" s="89">
        <f aca="true" t="shared" si="3" ref="E25:X25">E15-E21</f>
        <v>24.04893799649369</v>
      </c>
      <c r="F25" s="89">
        <f t="shared" si="3"/>
        <v>25.168587737139546</v>
      </c>
      <c r="G25" s="89">
        <f t="shared" si="3"/>
        <v>21.753633441199312</v>
      </c>
      <c r="H25" s="89">
        <f t="shared" si="3"/>
        <v>-18.776709094491167</v>
      </c>
      <c r="I25" s="89">
        <f t="shared" si="3"/>
        <v>-7.526478407326344</v>
      </c>
      <c r="J25" s="89">
        <f t="shared" si="3"/>
        <v>1.0566440566952764</v>
      </c>
      <c r="K25" s="89">
        <f t="shared" si="3"/>
        <v>12.478075208961563</v>
      </c>
      <c r="L25" s="89">
        <f t="shared" si="3"/>
        <v>25.677682263883263</v>
      </c>
      <c r="M25" s="89">
        <f t="shared" si="3"/>
        <v>38.47474723462499</v>
      </c>
      <c r="N25" s="89">
        <f t="shared" si="3"/>
        <v>39.43462753751723</v>
      </c>
      <c r="O25" s="89">
        <f t="shared" si="3"/>
        <v>69.68037846995138</v>
      </c>
      <c r="P25" s="89">
        <f t="shared" si="3"/>
        <v>78.98307459639324</v>
      </c>
      <c r="Q25" s="89">
        <f t="shared" si="3"/>
        <v>147.59179696427336</v>
      </c>
      <c r="R25" s="89">
        <f t="shared" si="3"/>
        <v>175.27279878472487</v>
      </c>
      <c r="S25" s="89">
        <f t="shared" si="3"/>
        <v>182.83462693190648</v>
      </c>
      <c r="T25" s="89">
        <f t="shared" si="3"/>
        <v>205.99188123954187</v>
      </c>
      <c r="U25" s="89">
        <f t="shared" si="3"/>
        <v>189.6679842819683</v>
      </c>
      <c r="V25" s="89">
        <f t="shared" si="3"/>
        <v>195.9052407850852</v>
      </c>
      <c r="W25" s="89">
        <f t="shared" si="3"/>
        <v>235.04101427413514</v>
      </c>
      <c r="X25" s="89">
        <f t="shared" si="3"/>
        <v>244.0539454145302</v>
      </c>
    </row>
    <row r="26" spans="1:24" s="94" customFormat="1" ht="12.75" outlineLevel="1">
      <c r="A26" s="91" t="s">
        <v>71</v>
      </c>
      <c r="B26" s="92"/>
      <c r="C26" s="92"/>
      <c r="D26" s="92"/>
      <c r="E26" s="93">
        <f aca="true" t="shared" si="4" ref="E26:X26">E24+E25</f>
        <v>24.04893799649369</v>
      </c>
      <c r="F26" s="93">
        <f t="shared" si="4"/>
        <v>49.21752573363324</v>
      </c>
      <c r="G26" s="93">
        <f t="shared" si="4"/>
        <v>70.97115917483255</v>
      </c>
      <c r="H26" s="93">
        <f t="shared" si="4"/>
        <v>52.19445008034138</v>
      </c>
      <c r="I26" s="93">
        <f t="shared" si="4"/>
        <v>44.66797167301504</v>
      </c>
      <c r="J26" s="93">
        <f t="shared" si="4"/>
        <v>45.724615729710315</v>
      </c>
      <c r="K26" s="93">
        <f t="shared" si="4"/>
        <v>58.20269093867188</v>
      </c>
      <c r="L26" s="93">
        <f t="shared" si="4"/>
        <v>83.88037320255515</v>
      </c>
      <c r="M26" s="93">
        <f t="shared" si="4"/>
        <v>122.35512043718015</v>
      </c>
      <c r="N26" s="93">
        <f t="shared" si="4"/>
        <v>161.78974797469738</v>
      </c>
      <c r="O26" s="93">
        <f t="shared" si="4"/>
        <v>231.47012644464877</v>
      </c>
      <c r="P26" s="93">
        <f t="shared" si="4"/>
        <v>310.453201041042</v>
      </c>
      <c r="Q26" s="93">
        <f t="shared" si="4"/>
        <v>458.0449980053154</v>
      </c>
      <c r="R26" s="93">
        <f t="shared" si="4"/>
        <v>633.3177967900402</v>
      </c>
      <c r="S26" s="93">
        <f t="shared" si="4"/>
        <v>816.1524237219467</v>
      </c>
      <c r="T26" s="93">
        <f t="shared" si="4"/>
        <v>1022.1443049614885</v>
      </c>
      <c r="U26" s="93">
        <f t="shared" si="4"/>
        <v>1211.8122892434567</v>
      </c>
      <c r="V26" s="93">
        <f t="shared" si="4"/>
        <v>1407.717530028542</v>
      </c>
      <c r="W26" s="93">
        <f t="shared" si="4"/>
        <v>1642.758544302677</v>
      </c>
      <c r="X26" s="93">
        <f t="shared" si="4"/>
        <v>1886.8124897172072</v>
      </c>
    </row>
    <row r="27" spans="1:24" s="66" customFormat="1" ht="12.75">
      <c r="A27" s="9"/>
      <c r="B27" s="9"/>
      <c r="C27" s="9"/>
      <c r="D27" s="9"/>
      <c r="E27" s="47"/>
      <c r="F27" s="47"/>
      <c r="G27" s="47"/>
      <c r="H27" s="47"/>
      <c r="I27" s="47"/>
      <c r="J27" s="47"/>
      <c r="K27" s="47"/>
      <c r="L27" s="47"/>
      <c r="M27" s="47"/>
      <c r="N27" s="47">
        <f>N26/(1+0.125)^10</f>
        <v>49.822529619275954</v>
      </c>
      <c r="O27" s="47"/>
      <c r="P27" s="47"/>
      <c r="Q27" s="47"/>
      <c r="R27" s="47"/>
      <c r="S27" s="47"/>
      <c r="T27" s="47"/>
      <c r="U27" s="47"/>
      <c r="V27" s="47"/>
      <c r="W27" s="47"/>
      <c r="X27" s="47"/>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16"/>
  <dimension ref="A1:I81"/>
  <sheetViews>
    <sheetView showGridLines="0" zoomScalePageLayoutView="0" workbookViewId="0" topLeftCell="A1">
      <pane xSplit="3" ySplit="10" topLeftCell="D11" activePane="bottomRight" state="frozen"/>
      <selection pane="topLeft" activeCell="A1" sqref="A1"/>
      <selection pane="topRight" activeCell="D1" sqref="D1"/>
      <selection pane="bottomLeft" activeCell="A11" sqref="A11"/>
      <selection pane="bottomRight" activeCell="D11" sqref="D11"/>
    </sheetView>
  </sheetViews>
  <sheetFormatPr defaultColWidth="9.140625" defaultRowHeight="12.75"/>
  <cols>
    <col min="1" max="1" width="27.57421875" style="65" customWidth="1"/>
    <col min="2" max="2" width="10.421875" style="75" bestFit="1" customWidth="1"/>
    <col min="3" max="3" width="9.8515625" style="136" customWidth="1"/>
    <col min="4" max="4" width="7.00390625" style="135" bestFit="1" customWidth="1"/>
    <col min="5" max="5" width="7.57421875" style="65" bestFit="1" customWidth="1"/>
    <col min="6" max="6" width="8.421875" style="65" bestFit="1" customWidth="1"/>
    <col min="7" max="7" width="10.421875" style="65" customWidth="1"/>
    <col min="8" max="8" width="7.00390625" style="65" bestFit="1" customWidth="1"/>
    <col min="9" max="9" width="10.28125" style="65" bestFit="1" customWidth="1"/>
    <col min="10" max="16384" width="9.140625" style="65" customWidth="1"/>
  </cols>
  <sheetData>
    <row r="1" spans="1:3" ht="15">
      <c r="A1" s="133" t="str">
        <f>Assumptions!A1</f>
        <v>AURANGABAD WATER SUPPLY PROJECT</v>
      </c>
      <c r="B1" s="134"/>
      <c r="C1" s="134"/>
    </row>
    <row r="2" spans="1:3" ht="12.75">
      <c r="A2"/>
      <c r="B2"/>
      <c r="C2"/>
    </row>
    <row r="3" spans="1:3" ht="12.75">
      <c r="A3" s="3" t="s">
        <v>109</v>
      </c>
      <c r="B3" s="3"/>
      <c r="C3" s="1"/>
    </row>
    <row r="4" spans="1:3" ht="12.75">
      <c r="A4" s="8" t="str">
        <f>Assumptions!C3</f>
        <v>Rs. in Crores</v>
      </c>
      <c r="B4" s="19"/>
      <c r="C4" s="1"/>
    </row>
    <row r="5" spans="1:3" ht="12.75">
      <c r="A5" s="1" t="s">
        <v>19</v>
      </c>
      <c r="B5" s="1"/>
      <c r="C5" s="10">
        <f>Assumptions!C140</f>
        <v>12</v>
      </c>
    </row>
    <row r="6" spans="1:3" ht="12.75">
      <c r="A6" s="1" t="s">
        <v>20</v>
      </c>
      <c r="B6" s="1"/>
      <c r="C6" s="10">
        <f>Assumptions!C141</f>
        <v>3</v>
      </c>
    </row>
    <row r="7" spans="1:3" ht="12.75">
      <c r="A7" s="1" t="s">
        <v>21</v>
      </c>
      <c r="B7" s="1"/>
      <c r="C7" s="10">
        <f>Assumptions!C142</f>
        <v>9</v>
      </c>
    </row>
    <row r="8" spans="1:3" ht="12.75">
      <c r="A8" s="1" t="s">
        <v>22</v>
      </c>
      <c r="B8" s="1"/>
      <c r="C8" s="76">
        <f>Assumptions!C143</f>
        <v>0.125</v>
      </c>
    </row>
    <row r="9" ht="13.5" thickBot="1"/>
    <row r="10" spans="2:9" ht="33.75">
      <c r="B10" s="137" t="s">
        <v>0</v>
      </c>
      <c r="C10" s="138" t="s">
        <v>1</v>
      </c>
      <c r="D10" s="138" t="s">
        <v>157</v>
      </c>
      <c r="E10" s="148" t="s">
        <v>95</v>
      </c>
      <c r="F10" s="148" t="s">
        <v>158</v>
      </c>
      <c r="G10" s="148" t="s">
        <v>159</v>
      </c>
      <c r="H10" s="148" t="s">
        <v>96</v>
      </c>
      <c r="I10" s="139" t="s">
        <v>97</v>
      </c>
    </row>
    <row r="11" spans="2:9" ht="12.75">
      <c r="B11" s="580">
        <f>Assumptions!E18</f>
        <v>2012</v>
      </c>
      <c r="C11" s="579">
        <f>Assumptions!E19</f>
        <v>1</v>
      </c>
      <c r="D11" s="150" t="s">
        <v>150</v>
      </c>
      <c r="E11" s="151">
        <v>0</v>
      </c>
      <c r="F11" s="151">
        <f>'CoP &amp; MoF'!$E$19/4</f>
        <v>44.75889437323022</v>
      </c>
      <c r="G11" s="151">
        <v>0</v>
      </c>
      <c r="H11" s="151">
        <f>E11+F11-G11</f>
        <v>44.75889437323022</v>
      </c>
      <c r="I11" s="152">
        <f>(E11+H11)/2*$C$8/4</f>
        <v>0.6993577245817222</v>
      </c>
    </row>
    <row r="12" spans="2:9" ht="12.75">
      <c r="B12" s="580"/>
      <c r="C12" s="579"/>
      <c r="D12" s="150" t="s">
        <v>151</v>
      </c>
      <c r="E12" s="151">
        <f>H11</f>
        <v>44.75889437323022</v>
      </c>
      <c r="F12" s="151">
        <f>'CoP &amp; MoF'!$E$19/4</f>
        <v>44.75889437323022</v>
      </c>
      <c r="G12" s="151">
        <v>0</v>
      </c>
      <c r="H12" s="151">
        <f>E12+F12-G12</f>
        <v>89.51778874646044</v>
      </c>
      <c r="I12" s="152">
        <f>(E12+H12)/2*$C$8/4</f>
        <v>2.0980731737451666</v>
      </c>
    </row>
    <row r="13" spans="2:9" ht="12.75">
      <c r="B13" s="580"/>
      <c r="C13" s="579"/>
      <c r="D13" s="150" t="s">
        <v>152</v>
      </c>
      <c r="E13" s="151">
        <f>H12</f>
        <v>89.51778874646044</v>
      </c>
      <c r="F13" s="151">
        <f>'CoP &amp; MoF'!$E$19/4</f>
        <v>44.75889437323022</v>
      </c>
      <c r="G13" s="151">
        <v>0</v>
      </c>
      <c r="H13" s="151">
        <f>E13+F13-G13</f>
        <v>134.27668311969066</v>
      </c>
      <c r="I13" s="152">
        <f>(E13+H13)/2*$C$8/4</f>
        <v>3.496788622908611</v>
      </c>
    </row>
    <row r="14" spans="2:9" ht="12.75">
      <c r="B14" s="580"/>
      <c r="C14" s="579"/>
      <c r="D14" s="150" t="s">
        <v>153</v>
      </c>
      <c r="E14" s="151">
        <f>H13</f>
        <v>134.27668311969066</v>
      </c>
      <c r="F14" s="151">
        <f>'CoP &amp; MoF'!$E$19/4</f>
        <v>44.75889437323022</v>
      </c>
      <c r="G14" s="151">
        <v>0</v>
      </c>
      <c r="H14" s="151">
        <f>E14+F14-G14</f>
        <v>179.03557749292088</v>
      </c>
      <c r="I14" s="152">
        <f>(E14+H14)/2*$C$8/4</f>
        <v>4.895504072072056</v>
      </c>
    </row>
    <row r="15" spans="2:9" ht="12.75">
      <c r="B15" s="580"/>
      <c r="C15" s="579"/>
      <c r="D15" s="153" t="s">
        <v>17</v>
      </c>
      <c r="E15" s="154">
        <f>E11</f>
        <v>0</v>
      </c>
      <c r="F15" s="154">
        <f>SUM(F11:F14)</f>
        <v>179.03557749292088</v>
      </c>
      <c r="G15" s="154">
        <f>SUM(G11:G14)</f>
        <v>0</v>
      </c>
      <c r="H15" s="154">
        <f>H14</f>
        <v>179.03557749292088</v>
      </c>
      <c r="I15" s="155">
        <f>SUM(I11:I14)</f>
        <v>11.189723593307555</v>
      </c>
    </row>
    <row r="16" spans="2:9" ht="12.75">
      <c r="B16" s="580">
        <f>Assumptions!F18</f>
        <v>2013</v>
      </c>
      <c r="C16" s="579">
        <f>Assumptions!F19</f>
        <v>2</v>
      </c>
      <c r="D16" s="150" t="s">
        <v>150</v>
      </c>
      <c r="E16" s="151">
        <f>H14</f>
        <v>179.03557749292088</v>
      </c>
      <c r="F16" s="151">
        <f>'CoP &amp; MoF'!$F$19/4</f>
        <v>46.74454504123385</v>
      </c>
      <c r="G16" s="151">
        <v>0</v>
      </c>
      <c r="H16" s="151">
        <f>E16+F16-G16</f>
        <v>225.7801225341547</v>
      </c>
      <c r="I16" s="152">
        <f>(E16+H16)/2*$C$8/4</f>
        <v>6.325245312923056</v>
      </c>
    </row>
    <row r="17" spans="2:9" ht="12.75">
      <c r="B17" s="580"/>
      <c r="C17" s="579"/>
      <c r="D17" s="150" t="s">
        <v>151</v>
      </c>
      <c r="E17" s="151">
        <f>H16</f>
        <v>225.7801225341547</v>
      </c>
      <c r="F17" s="151">
        <f>'CoP &amp; MoF'!$F$19/4</f>
        <v>46.74454504123385</v>
      </c>
      <c r="G17" s="151">
        <v>0</v>
      </c>
      <c r="H17" s="151">
        <f>E17+F17-G17</f>
        <v>272.52466757538855</v>
      </c>
      <c r="I17" s="152">
        <f>(E17+H17)/2*$C$8/4</f>
        <v>7.7860123454616135</v>
      </c>
    </row>
    <row r="18" spans="2:9" ht="12.75">
      <c r="B18" s="580"/>
      <c r="C18" s="579"/>
      <c r="D18" s="150" t="s">
        <v>152</v>
      </c>
      <c r="E18" s="151">
        <f>H17</f>
        <v>272.52466757538855</v>
      </c>
      <c r="F18" s="151">
        <f>'CoP &amp; MoF'!$F$19/4</f>
        <v>46.74454504123385</v>
      </c>
      <c r="G18" s="151">
        <v>0</v>
      </c>
      <c r="H18" s="151">
        <f>E18+F18-G18</f>
        <v>319.2692126166224</v>
      </c>
      <c r="I18" s="152">
        <f>(E18+H18)/2*$C$8/4</f>
        <v>9.24677937800017</v>
      </c>
    </row>
    <row r="19" spans="2:9" ht="12.75">
      <c r="B19" s="580"/>
      <c r="C19" s="579"/>
      <c r="D19" s="150" t="s">
        <v>153</v>
      </c>
      <c r="E19" s="151">
        <f>H18</f>
        <v>319.2692126166224</v>
      </c>
      <c r="F19" s="151">
        <f>'CoP &amp; MoF'!$F$19/4</f>
        <v>46.74454504123385</v>
      </c>
      <c r="G19" s="151">
        <v>0</v>
      </c>
      <c r="H19" s="151">
        <f>E19+F19-G19</f>
        <v>366.0137576578562</v>
      </c>
      <c r="I19" s="152">
        <f>(E19+H19)/2*$C$8/4</f>
        <v>10.707546410538729</v>
      </c>
    </row>
    <row r="20" spans="2:9" ht="12.75">
      <c r="B20" s="580"/>
      <c r="C20" s="579"/>
      <c r="D20" s="153" t="s">
        <v>17</v>
      </c>
      <c r="E20" s="154">
        <f>E16</f>
        <v>179.03557749292088</v>
      </c>
      <c r="F20" s="154">
        <f>SUM(F16:F19)</f>
        <v>186.9781801649354</v>
      </c>
      <c r="G20" s="154">
        <f>SUM(G16:G19)</f>
        <v>0</v>
      </c>
      <c r="H20" s="154">
        <f>H19</f>
        <v>366.0137576578562</v>
      </c>
      <c r="I20" s="155">
        <f>SUM(I16:I19)</f>
        <v>34.06558344692357</v>
      </c>
    </row>
    <row r="21" spans="2:9" ht="12.75">
      <c r="B21" s="580">
        <f>Assumptions!G18</f>
        <v>2014</v>
      </c>
      <c r="C21" s="579">
        <f>Assumptions!G19</f>
        <v>3</v>
      </c>
      <c r="D21" s="150" t="s">
        <v>150</v>
      </c>
      <c r="E21" s="151">
        <f>H19</f>
        <v>366.0137576578562</v>
      </c>
      <c r="F21" s="151">
        <f>'CoP &amp; MoF'!$G$19/4</f>
        <v>4.739869792489384</v>
      </c>
      <c r="G21" s="151">
        <v>0</v>
      </c>
      <c r="H21" s="151">
        <f>E21+F21-G21</f>
        <v>370.7536274503456</v>
      </c>
      <c r="I21" s="152">
        <f>(E21+H21)/2*$C$8/4</f>
        <v>11.511990392315653</v>
      </c>
    </row>
    <row r="22" spans="2:9" ht="12.75">
      <c r="B22" s="580"/>
      <c r="C22" s="579"/>
      <c r="D22" s="150" t="s">
        <v>151</v>
      </c>
      <c r="E22" s="151">
        <f>H21</f>
        <v>370.7536274503456</v>
      </c>
      <c r="F22" s="151">
        <f>'CoP &amp; MoF'!$G$19/4</f>
        <v>4.739869792489384</v>
      </c>
      <c r="G22" s="151">
        <v>0</v>
      </c>
      <c r="H22" s="151">
        <f>E22+F22-G22</f>
        <v>375.493497242835</v>
      </c>
      <c r="I22" s="152">
        <f>(E22+H22)/2*$C$8/4</f>
        <v>11.660111323330948</v>
      </c>
    </row>
    <row r="23" spans="2:9" ht="12.75">
      <c r="B23" s="580"/>
      <c r="C23" s="579"/>
      <c r="D23" s="150" t="s">
        <v>152</v>
      </c>
      <c r="E23" s="151">
        <f>H22</f>
        <v>375.493497242835</v>
      </c>
      <c r="F23" s="151">
        <f>'CoP &amp; MoF'!$G$19/4</f>
        <v>4.739869792489384</v>
      </c>
      <c r="G23" s="151">
        <v>0</v>
      </c>
      <c r="H23" s="151">
        <f>E23+F23-G23</f>
        <v>380.2333670353244</v>
      </c>
      <c r="I23" s="152">
        <f>(E23+H23)/2*$C$8/4</f>
        <v>11.80823225434624</v>
      </c>
    </row>
    <row r="24" spans="2:9" ht="12.75">
      <c r="B24" s="580"/>
      <c r="C24" s="579"/>
      <c r="D24" s="150" t="s">
        <v>153</v>
      </c>
      <c r="E24" s="151">
        <f>H23</f>
        <v>380.2333670353244</v>
      </c>
      <c r="F24" s="151">
        <f>'CoP &amp; MoF'!$G$19/4</f>
        <v>4.739869792489384</v>
      </c>
      <c r="G24" s="151">
        <v>0</v>
      </c>
      <c r="H24" s="151">
        <f>E24+F24-G24</f>
        <v>384.9732368278138</v>
      </c>
      <c r="I24" s="152">
        <f>(E24+H24)/2*$C$8/4</f>
        <v>11.956353185361536</v>
      </c>
    </row>
    <row r="25" spans="2:9" ht="12.75">
      <c r="B25" s="580"/>
      <c r="C25" s="579"/>
      <c r="D25" s="153" t="s">
        <v>17</v>
      </c>
      <c r="E25" s="154">
        <f>E21</f>
        <v>366.0137576578562</v>
      </c>
      <c r="F25" s="154">
        <f>SUM(F21:F24)</f>
        <v>18.959479169957536</v>
      </c>
      <c r="G25" s="154">
        <f>SUM(G21:G24)</f>
        <v>0</v>
      </c>
      <c r="H25" s="154">
        <f>H24</f>
        <v>384.9732368278138</v>
      </c>
      <c r="I25" s="155">
        <f>SUM(I21:I24)</f>
        <v>46.93668715535438</v>
      </c>
    </row>
    <row r="26" spans="2:9" ht="12.75">
      <c r="B26" s="573">
        <f>Assumptions!H18</f>
        <v>2015</v>
      </c>
      <c r="C26" s="569">
        <f>Assumptions!H19</f>
        <v>4</v>
      </c>
      <c r="D26" s="140" t="s">
        <v>150</v>
      </c>
      <c r="E26" s="141">
        <f>H24</f>
        <v>384.9732368278138</v>
      </c>
      <c r="F26" s="141">
        <v>0</v>
      </c>
      <c r="G26" s="141">
        <f>'CoP &amp; MoF'!$C$19/(4*$C$7)</f>
        <v>10.693701022994826</v>
      </c>
      <c r="H26" s="141">
        <f>E26+F26-G26</f>
        <v>374.279535804819</v>
      </c>
      <c r="I26" s="142">
        <f>(E26+H26)/2*$C$8/4</f>
        <v>11.863324572384887</v>
      </c>
    </row>
    <row r="27" spans="2:9" ht="12.75">
      <c r="B27" s="573"/>
      <c r="C27" s="569"/>
      <c r="D27" s="140" t="s">
        <v>151</v>
      </c>
      <c r="E27" s="141">
        <f>H26</f>
        <v>374.279535804819</v>
      </c>
      <c r="F27" s="141">
        <v>0</v>
      </c>
      <c r="G27" s="141">
        <f>'CoP &amp; MoF'!$C$19/(4*$C$7)</f>
        <v>10.693701022994826</v>
      </c>
      <c r="H27" s="141">
        <f>E27+F27-G27</f>
        <v>363.58583478182413</v>
      </c>
      <c r="I27" s="142">
        <f>(E27+H27)/2*$C$8/4</f>
        <v>11.5291464154163</v>
      </c>
    </row>
    <row r="28" spans="2:9" ht="12.75">
      <c r="B28" s="573"/>
      <c r="C28" s="569"/>
      <c r="D28" s="140" t="s">
        <v>152</v>
      </c>
      <c r="E28" s="141">
        <f>H27</f>
        <v>363.58583478182413</v>
      </c>
      <c r="F28" s="141">
        <v>0</v>
      </c>
      <c r="G28" s="141">
        <f>'CoP &amp; MoF'!$C$19/(4*$C$7)</f>
        <v>10.693701022994826</v>
      </c>
      <c r="H28" s="141">
        <f>E28+F28-G28</f>
        <v>352.8921337588293</v>
      </c>
      <c r="I28" s="142">
        <f>(E28+H28)/2*$C$8/4</f>
        <v>11.194968258447709</v>
      </c>
    </row>
    <row r="29" spans="2:9" ht="12.75">
      <c r="B29" s="573"/>
      <c r="C29" s="569"/>
      <c r="D29" s="140" t="s">
        <v>153</v>
      </c>
      <c r="E29" s="141">
        <f>H28</f>
        <v>352.8921337588293</v>
      </c>
      <c r="F29" s="141">
        <v>0</v>
      </c>
      <c r="G29" s="141">
        <f>'CoP &amp; MoF'!$C$19/(4*$C$7)</f>
        <v>10.693701022994826</v>
      </c>
      <c r="H29" s="141">
        <f>E29+F29-G29</f>
        <v>342.19843273583444</v>
      </c>
      <c r="I29" s="142">
        <f>(E29+H29)/2*$C$8/4</f>
        <v>10.860790101479122</v>
      </c>
    </row>
    <row r="30" spans="2:9" ht="12.75">
      <c r="B30" s="573"/>
      <c r="C30" s="569"/>
      <c r="D30" s="145" t="s">
        <v>17</v>
      </c>
      <c r="E30" s="143">
        <f>E26</f>
        <v>384.9732368278138</v>
      </c>
      <c r="F30" s="143">
        <f>SUM(F26:F29)</f>
        <v>0</v>
      </c>
      <c r="G30" s="143">
        <f>SUM(G26:G29)</f>
        <v>42.774804091979306</v>
      </c>
      <c r="H30" s="143">
        <f>H29</f>
        <v>342.19843273583444</v>
      </c>
      <c r="I30" s="144">
        <f>SUM(I26:I29)</f>
        <v>45.44822934772802</v>
      </c>
    </row>
    <row r="31" spans="2:9" ht="12.75">
      <c r="B31" s="573">
        <f>Assumptions!I18</f>
        <v>2016</v>
      </c>
      <c r="C31" s="569">
        <f>Assumptions!I19</f>
        <v>5</v>
      </c>
      <c r="D31" s="140" t="s">
        <v>150</v>
      </c>
      <c r="E31" s="141">
        <f>H29</f>
        <v>342.19843273583444</v>
      </c>
      <c r="F31" s="141">
        <v>0</v>
      </c>
      <c r="G31" s="141">
        <f>'CoP &amp; MoF'!$C$19/(4*$C$7)</f>
        <v>10.693701022994826</v>
      </c>
      <c r="H31" s="141">
        <f>E31+F31-G31</f>
        <v>331.5047317128396</v>
      </c>
      <c r="I31" s="142">
        <f>(E31+H31)/2*$C$8/4</f>
        <v>10.526611944510531</v>
      </c>
    </row>
    <row r="32" spans="2:9" ht="12.75">
      <c r="B32" s="573"/>
      <c r="C32" s="569"/>
      <c r="D32" s="140" t="s">
        <v>151</v>
      </c>
      <c r="E32" s="141">
        <f>H31</f>
        <v>331.5047317128396</v>
      </c>
      <c r="F32" s="141">
        <v>0</v>
      </c>
      <c r="G32" s="141">
        <f>'CoP &amp; MoF'!$C$19/(4*$C$7)</f>
        <v>10.693701022994826</v>
      </c>
      <c r="H32" s="141">
        <f>E32+F32-G32</f>
        <v>320.81103068984476</v>
      </c>
      <c r="I32" s="142">
        <f>(E32+H32)/2*$C$8/4</f>
        <v>10.192433787541944</v>
      </c>
    </row>
    <row r="33" spans="2:9" ht="12.75">
      <c r="B33" s="573"/>
      <c r="C33" s="569"/>
      <c r="D33" s="140" t="s">
        <v>152</v>
      </c>
      <c r="E33" s="141">
        <f>H32</f>
        <v>320.81103068984476</v>
      </c>
      <c r="F33" s="141">
        <v>0</v>
      </c>
      <c r="G33" s="141">
        <f>'CoP &amp; MoF'!$C$19/(4*$C$7)</f>
        <v>10.693701022994826</v>
      </c>
      <c r="H33" s="141">
        <f>E33+F33-G33</f>
        <v>310.1173296668499</v>
      </c>
      <c r="I33" s="142">
        <f>(E33+H33)/2*$C$8/4</f>
        <v>9.858255630573353</v>
      </c>
    </row>
    <row r="34" spans="2:9" ht="12.75">
      <c r="B34" s="573"/>
      <c r="C34" s="569"/>
      <c r="D34" s="140" t="s">
        <v>153</v>
      </c>
      <c r="E34" s="141">
        <f>H33</f>
        <v>310.1173296668499</v>
      </c>
      <c r="F34" s="141">
        <v>0</v>
      </c>
      <c r="G34" s="141">
        <f>'CoP &amp; MoF'!$C$19/(4*$C$7)</f>
        <v>10.693701022994826</v>
      </c>
      <c r="H34" s="141">
        <f>E34+F34-G34</f>
        <v>299.42362864385507</v>
      </c>
      <c r="I34" s="142">
        <f>(E34+H34)/2*$C$8/4</f>
        <v>9.524077473604766</v>
      </c>
    </row>
    <row r="35" spans="2:9" ht="12.75">
      <c r="B35" s="573"/>
      <c r="C35" s="569"/>
      <c r="D35" s="145" t="s">
        <v>17</v>
      </c>
      <c r="E35" s="143">
        <f>E31</f>
        <v>342.19843273583444</v>
      </c>
      <c r="F35" s="143">
        <f>SUM(F31:F34)</f>
        <v>0</v>
      </c>
      <c r="G35" s="143">
        <f>SUM(G31:G34)</f>
        <v>42.774804091979306</v>
      </c>
      <c r="H35" s="143">
        <f>H34</f>
        <v>299.42362864385507</v>
      </c>
      <c r="I35" s="144">
        <f>SUM(I31:I34)</f>
        <v>40.101378836230595</v>
      </c>
    </row>
    <row r="36" spans="2:9" ht="12.75">
      <c r="B36" s="573">
        <f>Assumptions!J18</f>
        <v>2017</v>
      </c>
      <c r="C36" s="569">
        <f>Assumptions!J19</f>
        <v>6</v>
      </c>
      <c r="D36" s="140" t="s">
        <v>150</v>
      </c>
      <c r="E36" s="141">
        <f>H34</f>
        <v>299.42362864385507</v>
      </c>
      <c r="F36" s="141">
        <v>0</v>
      </c>
      <c r="G36" s="141">
        <f>'CoP &amp; MoF'!$C$19/(4*$C$7)</f>
        <v>10.693701022994826</v>
      </c>
      <c r="H36" s="141">
        <f>E36+F36-G36</f>
        <v>288.7299276208602</v>
      </c>
      <c r="I36" s="142">
        <f>(E36+H36)/2*$C$8/4</f>
        <v>9.189899316636176</v>
      </c>
    </row>
    <row r="37" spans="2:9" ht="12.75">
      <c r="B37" s="573"/>
      <c r="C37" s="569"/>
      <c r="D37" s="140" t="s">
        <v>151</v>
      </c>
      <c r="E37" s="141">
        <f>H36</f>
        <v>288.7299276208602</v>
      </c>
      <c r="F37" s="141">
        <v>0</v>
      </c>
      <c r="G37" s="141">
        <f>'CoP &amp; MoF'!$C$19/(4*$C$7)</f>
        <v>10.693701022994826</v>
      </c>
      <c r="H37" s="141">
        <f>E37+F37-G37</f>
        <v>278.0362265978654</v>
      </c>
      <c r="I37" s="142">
        <f>(E37+H37)/2*$C$8/4</f>
        <v>8.855721159667588</v>
      </c>
    </row>
    <row r="38" spans="2:9" ht="12.75">
      <c r="B38" s="573"/>
      <c r="C38" s="569"/>
      <c r="D38" s="140" t="s">
        <v>152</v>
      </c>
      <c r="E38" s="141">
        <f>H37</f>
        <v>278.0362265978654</v>
      </c>
      <c r="F38" s="141">
        <v>0</v>
      </c>
      <c r="G38" s="141">
        <f>'CoP &amp; MoF'!$C$19/(4*$C$7)</f>
        <v>10.693701022994826</v>
      </c>
      <c r="H38" s="141">
        <f>E38+F38-G38</f>
        <v>267.34252557487054</v>
      </c>
      <c r="I38" s="142">
        <f>(E38+H38)/2*$C$8/4</f>
        <v>8.521543002698998</v>
      </c>
    </row>
    <row r="39" spans="2:9" ht="12.75">
      <c r="B39" s="573"/>
      <c r="C39" s="569"/>
      <c r="D39" s="140" t="s">
        <v>153</v>
      </c>
      <c r="E39" s="141">
        <f>H38</f>
        <v>267.34252557487054</v>
      </c>
      <c r="F39" s="141">
        <v>0</v>
      </c>
      <c r="G39" s="141">
        <f>'CoP &amp; MoF'!$C$19/(4*$C$7)</f>
        <v>10.693701022994826</v>
      </c>
      <c r="H39" s="141">
        <f>E39+F39-G39</f>
        <v>256.6488245518757</v>
      </c>
      <c r="I39" s="142">
        <f>(E39+H39)/2*$C$8/4</f>
        <v>8.18736484573041</v>
      </c>
    </row>
    <row r="40" spans="2:9" ht="12.75">
      <c r="B40" s="573"/>
      <c r="C40" s="569"/>
      <c r="D40" s="145" t="s">
        <v>17</v>
      </c>
      <c r="E40" s="143">
        <f>E36</f>
        <v>299.42362864385507</v>
      </c>
      <c r="F40" s="143">
        <f>SUM(F36:F39)</f>
        <v>0</v>
      </c>
      <c r="G40" s="143">
        <f>SUM(G36:G39)</f>
        <v>42.774804091979306</v>
      </c>
      <c r="H40" s="143">
        <f>H39</f>
        <v>256.6488245518757</v>
      </c>
      <c r="I40" s="144">
        <f>SUM(I36:I39)</f>
        <v>34.75452832473317</v>
      </c>
    </row>
    <row r="41" spans="2:9" ht="12.75">
      <c r="B41" s="573">
        <f>Assumptions!K18</f>
        <v>2018</v>
      </c>
      <c r="C41" s="569">
        <f>Assumptions!K19</f>
        <v>7</v>
      </c>
      <c r="D41" s="140" t="s">
        <v>150</v>
      </c>
      <c r="E41" s="141">
        <f>H39</f>
        <v>256.6488245518757</v>
      </c>
      <c r="F41" s="141">
        <v>0</v>
      </c>
      <c r="G41" s="141">
        <f>'CoP &amp; MoF'!$C$19/(4*$C$7)</f>
        <v>10.693701022994826</v>
      </c>
      <c r="H41" s="141">
        <f>E41+F41-G41</f>
        <v>245.95512352888088</v>
      </c>
      <c r="I41" s="142">
        <f>(E41+H41)/2*$C$8/4</f>
        <v>7.853186688761822</v>
      </c>
    </row>
    <row r="42" spans="2:9" ht="12.75">
      <c r="B42" s="573"/>
      <c r="C42" s="569"/>
      <c r="D42" s="140" t="s">
        <v>151</v>
      </c>
      <c r="E42" s="141">
        <f>H41</f>
        <v>245.95512352888088</v>
      </c>
      <c r="F42" s="141">
        <v>0</v>
      </c>
      <c r="G42" s="141">
        <f>'CoP &amp; MoF'!$C$19/(4*$C$7)</f>
        <v>10.693701022994826</v>
      </c>
      <c r="H42" s="141">
        <f>E42+F42-G42</f>
        <v>235.26142250588606</v>
      </c>
      <c r="I42" s="142">
        <f>(E42+H42)/2*$C$8/4</f>
        <v>7.519008531793233</v>
      </c>
    </row>
    <row r="43" spans="2:9" ht="12.75">
      <c r="B43" s="573"/>
      <c r="C43" s="569"/>
      <c r="D43" s="140" t="s">
        <v>152</v>
      </c>
      <c r="E43" s="141">
        <f>H42</f>
        <v>235.26142250588606</v>
      </c>
      <c r="F43" s="141">
        <v>0</v>
      </c>
      <c r="G43" s="141">
        <f>'CoP &amp; MoF'!$C$19/(4*$C$7)</f>
        <v>10.693701022994826</v>
      </c>
      <c r="H43" s="141">
        <f>E43+F43-G43</f>
        <v>224.56772148289124</v>
      </c>
      <c r="I43" s="142">
        <f>(E43+H43)/2*$C$8/4</f>
        <v>7.184830374824646</v>
      </c>
    </row>
    <row r="44" spans="2:9" ht="12.75">
      <c r="B44" s="573"/>
      <c r="C44" s="569"/>
      <c r="D44" s="140" t="s">
        <v>153</v>
      </c>
      <c r="E44" s="141">
        <f>H43</f>
        <v>224.56772148289124</v>
      </c>
      <c r="F44" s="141">
        <v>0</v>
      </c>
      <c r="G44" s="141">
        <f>'CoP &amp; MoF'!$C$19/(4*$C$7)</f>
        <v>10.693701022994826</v>
      </c>
      <c r="H44" s="141">
        <f>E44+F44-G44</f>
        <v>213.87402045989643</v>
      </c>
      <c r="I44" s="142">
        <f>(E44+H44)/2*$C$8/4</f>
        <v>6.850652217856057</v>
      </c>
    </row>
    <row r="45" spans="2:9" ht="12.75">
      <c r="B45" s="573"/>
      <c r="C45" s="569"/>
      <c r="D45" s="145" t="s">
        <v>17</v>
      </c>
      <c r="E45" s="143">
        <f>E41</f>
        <v>256.6488245518757</v>
      </c>
      <c r="F45" s="143">
        <f>SUM(F41:F44)</f>
        <v>0</v>
      </c>
      <c r="G45" s="143">
        <f>SUM(G41:G44)</f>
        <v>42.774804091979306</v>
      </c>
      <c r="H45" s="143">
        <f>H44</f>
        <v>213.87402045989643</v>
      </c>
      <c r="I45" s="144">
        <f>SUM(I41:I44)</f>
        <v>29.407677813235757</v>
      </c>
    </row>
    <row r="46" spans="2:9" ht="12.75">
      <c r="B46" s="573">
        <f>Assumptions!L18</f>
        <v>2019</v>
      </c>
      <c r="C46" s="569">
        <f>Assumptions!L19</f>
        <v>8</v>
      </c>
      <c r="D46" s="140" t="s">
        <v>150</v>
      </c>
      <c r="E46" s="141">
        <f>H44</f>
        <v>213.87402045989643</v>
      </c>
      <c r="F46" s="141">
        <v>0</v>
      </c>
      <c r="G46" s="141">
        <f>'CoP &amp; MoF'!$C$19/(4*$C$7)</f>
        <v>10.693701022994826</v>
      </c>
      <c r="H46" s="141">
        <f>E46+F46-G46</f>
        <v>203.1803194369016</v>
      </c>
      <c r="I46" s="142">
        <f>(E46+H46)/2*$C$8/4</f>
        <v>6.51647406088747</v>
      </c>
    </row>
    <row r="47" spans="2:9" ht="12.75">
      <c r="B47" s="573"/>
      <c r="C47" s="569"/>
      <c r="D47" s="140" t="s">
        <v>151</v>
      </c>
      <c r="E47" s="141">
        <f>H46</f>
        <v>203.1803194369016</v>
      </c>
      <c r="F47" s="141">
        <v>0</v>
      </c>
      <c r="G47" s="141">
        <f>'CoP &amp; MoF'!$C$19/(4*$C$7)</f>
        <v>10.693701022994826</v>
      </c>
      <c r="H47" s="141">
        <f>E47+F47-G47</f>
        <v>192.4866184139068</v>
      </c>
      <c r="I47" s="142">
        <f>(E47+H47)/2*$C$8/4</f>
        <v>6.182295903918881</v>
      </c>
    </row>
    <row r="48" spans="2:9" ht="12.75">
      <c r="B48" s="573"/>
      <c r="C48" s="569"/>
      <c r="D48" s="140" t="s">
        <v>152</v>
      </c>
      <c r="E48" s="141">
        <f>H47</f>
        <v>192.4866184139068</v>
      </c>
      <c r="F48" s="141">
        <v>0</v>
      </c>
      <c r="G48" s="141">
        <f>'CoP &amp; MoF'!$C$19/(4*$C$7)</f>
        <v>10.693701022994826</v>
      </c>
      <c r="H48" s="141">
        <f>E48+F48-G48</f>
        <v>181.79291739091198</v>
      </c>
      <c r="I48" s="142">
        <f>(E48+H48)/2*$C$8/4</f>
        <v>5.848117746950294</v>
      </c>
    </row>
    <row r="49" spans="2:9" ht="12.75">
      <c r="B49" s="573"/>
      <c r="C49" s="569"/>
      <c r="D49" s="140" t="s">
        <v>153</v>
      </c>
      <c r="E49" s="141">
        <f>H48</f>
        <v>181.79291739091198</v>
      </c>
      <c r="F49" s="141">
        <v>0</v>
      </c>
      <c r="G49" s="141">
        <f>'CoP &amp; MoF'!$C$19/(4*$C$7)</f>
        <v>10.693701022994826</v>
      </c>
      <c r="H49" s="141">
        <f>E49+F49-G49</f>
        <v>171.09921636791717</v>
      </c>
      <c r="I49" s="142">
        <f>(E49+H49)/2*$C$8/4</f>
        <v>5.513939589981705</v>
      </c>
    </row>
    <row r="50" spans="2:9" ht="12.75">
      <c r="B50" s="573"/>
      <c r="C50" s="569"/>
      <c r="D50" s="145" t="s">
        <v>17</v>
      </c>
      <c r="E50" s="143">
        <f>E46</f>
        <v>213.87402045989643</v>
      </c>
      <c r="F50" s="143">
        <f>SUM(F46:F49)</f>
        <v>0</v>
      </c>
      <c r="G50" s="143">
        <f>SUM(G46:G49)</f>
        <v>42.774804091979306</v>
      </c>
      <c r="H50" s="143">
        <f>H49</f>
        <v>171.09921636791717</v>
      </c>
      <c r="I50" s="144">
        <f>SUM(I46:I49)</f>
        <v>24.06082730173835</v>
      </c>
    </row>
    <row r="51" spans="2:9" ht="12.75">
      <c r="B51" s="574">
        <f>Assumptions!M18</f>
        <v>2020</v>
      </c>
      <c r="C51" s="569">
        <f>Assumptions!M19</f>
        <v>9</v>
      </c>
      <c r="D51" s="140" t="s">
        <v>150</v>
      </c>
      <c r="E51" s="141">
        <f>H49</f>
        <v>171.09921636791717</v>
      </c>
      <c r="F51" s="141">
        <v>0</v>
      </c>
      <c r="G51" s="141">
        <f>'CoP &amp; MoF'!$C$19/(4*$C$7)</f>
        <v>10.693701022994826</v>
      </c>
      <c r="H51" s="141">
        <f>E51+F51-G51</f>
        <v>160.40551534492235</v>
      </c>
      <c r="I51" s="142">
        <f>(E51+H51)/2*$C$8/4</f>
        <v>5.179761433013118</v>
      </c>
    </row>
    <row r="52" spans="2:9" ht="12.75">
      <c r="B52" s="575"/>
      <c r="C52" s="569"/>
      <c r="D52" s="140" t="s">
        <v>151</v>
      </c>
      <c r="E52" s="141">
        <f>H51</f>
        <v>160.40551534492235</v>
      </c>
      <c r="F52" s="141">
        <v>0</v>
      </c>
      <c r="G52" s="141">
        <f>'CoP &amp; MoF'!$C$19/(4*$C$7)</f>
        <v>10.693701022994826</v>
      </c>
      <c r="H52" s="141">
        <f>E52+F52-G52</f>
        <v>149.71181432192753</v>
      </c>
      <c r="I52" s="142">
        <f>(E52+H52)/2*$C$8/4</f>
        <v>4.845583276044529</v>
      </c>
    </row>
    <row r="53" spans="2:9" ht="12.75">
      <c r="B53" s="575"/>
      <c r="C53" s="569"/>
      <c r="D53" s="140" t="s">
        <v>152</v>
      </c>
      <c r="E53" s="141">
        <f>H52</f>
        <v>149.71181432192753</v>
      </c>
      <c r="F53" s="141">
        <v>0</v>
      </c>
      <c r="G53" s="141">
        <f>'CoP &amp; MoF'!$C$19/(4*$C$7)</f>
        <v>10.693701022994826</v>
      </c>
      <c r="H53" s="141">
        <f>E53+F53-G53</f>
        <v>139.01811329893272</v>
      </c>
      <c r="I53" s="142">
        <f>(E53+H53)/2*$C$8/4</f>
        <v>4.511405119075942</v>
      </c>
    </row>
    <row r="54" spans="2:9" ht="12.75">
      <c r="B54" s="575"/>
      <c r="C54" s="569"/>
      <c r="D54" s="140" t="s">
        <v>153</v>
      </c>
      <c r="E54" s="141">
        <f>H53</f>
        <v>139.01811329893272</v>
      </c>
      <c r="F54" s="141">
        <v>0</v>
      </c>
      <c r="G54" s="141">
        <f>'CoP &amp; MoF'!$C$19/(4*$C$7)</f>
        <v>10.693701022994826</v>
      </c>
      <c r="H54" s="141">
        <f>E54+F54-G54</f>
        <v>128.3244122759379</v>
      </c>
      <c r="I54" s="142">
        <f>(E54+H54)/2*$C$8/4</f>
        <v>4.177226962107353</v>
      </c>
    </row>
    <row r="55" spans="2:9" ht="12.75">
      <c r="B55" s="576"/>
      <c r="C55" s="569"/>
      <c r="D55" s="145" t="s">
        <v>17</v>
      </c>
      <c r="E55" s="143">
        <f>E51</f>
        <v>171.09921636791717</v>
      </c>
      <c r="F55" s="143">
        <f>SUM(F51:F54)</f>
        <v>0</v>
      </c>
      <c r="G55" s="143">
        <f>SUM(G51:G54)</f>
        <v>42.774804091979306</v>
      </c>
      <c r="H55" s="143">
        <f>H54</f>
        <v>128.3244122759379</v>
      </c>
      <c r="I55" s="144">
        <f>SUM(I51:I54)</f>
        <v>18.71397679024094</v>
      </c>
    </row>
    <row r="56" spans="2:9" ht="12.75">
      <c r="B56" s="574">
        <f>Assumptions!N18</f>
        <v>2021</v>
      </c>
      <c r="C56" s="569">
        <f>Assumptions!N19</f>
        <v>10</v>
      </c>
      <c r="D56" s="140" t="s">
        <v>150</v>
      </c>
      <c r="E56" s="141">
        <f>H54</f>
        <v>128.3244122759379</v>
      </c>
      <c r="F56" s="141">
        <v>0</v>
      </c>
      <c r="G56" s="141">
        <f>'CoP &amp; MoF'!$C$19/(4*$C$7)</f>
        <v>10.693701022994826</v>
      </c>
      <c r="H56" s="141">
        <f>E56+F56-G56</f>
        <v>117.63071125294307</v>
      </c>
      <c r="I56" s="142">
        <f>(E56+H56)/2*$C$8/4</f>
        <v>3.843048805138765</v>
      </c>
    </row>
    <row r="57" spans="2:9" ht="12.75">
      <c r="B57" s="575"/>
      <c r="C57" s="569"/>
      <c r="D57" s="140" t="s">
        <v>151</v>
      </c>
      <c r="E57" s="141">
        <f>H56</f>
        <v>117.63071125294307</v>
      </c>
      <c r="F57" s="141">
        <v>0</v>
      </c>
      <c r="G57" s="141">
        <f>'CoP &amp; MoF'!$C$19/(4*$C$7)</f>
        <v>10.693701022994826</v>
      </c>
      <c r="H57" s="141">
        <f>E57+F57-G57</f>
        <v>106.93701022994824</v>
      </c>
      <c r="I57" s="142">
        <f>(E57+H57)/2*$C$8/4</f>
        <v>3.508870648170177</v>
      </c>
    </row>
    <row r="58" spans="2:9" ht="12.75">
      <c r="B58" s="575"/>
      <c r="C58" s="569"/>
      <c r="D58" s="140" t="s">
        <v>152</v>
      </c>
      <c r="E58" s="141">
        <f>H57</f>
        <v>106.93701022994824</v>
      </c>
      <c r="F58" s="141">
        <v>0</v>
      </c>
      <c r="G58" s="141">
        <f>'CoP &amp; MoF'!$C$19/(4*$C$7)</f>
        <v>10.693701022994826</v>
      </c>
      <c r="H58" s="141">
        <f>E58+F58-G58</f>
        <v>96.24330920695341</v>
      </c>
      <c r="I58" s="142">
        <f>(E58+H58)/2*$C$8/4</f>
        <v>3.174692491201588</v>
      </c>
    </row>
    <row r="59" spans="2:9" ht="12.75">
      <c r="B59" s="575"/>
      <c r="C59" s="569"/>
      <c r="D59" s="140" t="s">
        <v>153</v>
      </c>
      <c r="E59" s="141">
        <f>H58</f>
        <v>96.24330920695341</v>
      </c>
      <c r="F59" s="141">
        <v>0</v>
      </c>
      <c r="G59" s="141">
        <f>'CoP &amp; MoF'!$C$19/(4*$C$7)</f>
        <v>10.693701022994826</v>
      </c>
      <c r="H59" s="141">
        <f>E59+F59-G59</f>
        <v>85.54960818395858</v>
      </c>
      <c r="I59" s="142">
        <f>(E59+H59)/2*$C$8/4</f>
        <v>2.840514334233</v>
      </c>
    </row>
    <row r="60" spans="2:9" ht="12.75">
      <c r="B60" s="576"/>
      <c r="C60" s="569"/>
      <c r="D60" s="145" t="s">
        <v>17</v>
      </c>
      <c r="E60" s="143">
        <f>E56</f>
        <v>128.3244122759379</v>
      </c>
      <c r="F60" s="143">
        <f>SUM(F56:F59)</f>
        <v>0</v>
      </c>
      <c r="G60" s="143">
        <f>SUM(G56:G59)</f>
        <v>42.774804091979306</v>
      </c>
      <c r="H60" s="143">
        <f>H59</f>
        <v>85.54960818395858</v>
      </c>
      <c r="I60" s="144">
        <f>SUM(I56:I59)</f>
        <v>13.36712627874353</v>
      </c>
    </row>
    <row r="61" spans="2:9" s="147" customFormat="1" ht="13.5" customHeight="1">
      <c r="B61" s="573">
        <f>Assumptions!O18</f>
        <v>2022</v>
      </c>
      <c r="C61" s="569">
        <f>Assumptions!O19</f>
        <v>11</v>
      </c>
      <c r="D61" s="140" t="s">
        <v>150</v>
      </c>
      <c r="E61" s="141">
        <f>H59</f>
        <v>85.54960818395858</v>
      </c>
      <c r="F61" s="141">
        <v>0</v>
      </c>
      <c r="G61" s="141">
        <f>'CoP &amp; MoF'!$C$19/(4*$C$7)</f>
        <v>10.693701022994826</v>
      </c>
      <c r="H61" s="141">
        <f>E61+F61-G61</f>
        <v>74.85590716096375</v>
      </c>
      <c r="I61" s="142">
        <f>(E61+H61)/2*$C$8/4</f>
        <v>2.5063361772644113</v>
      </c>
    </row>
    <row r="62" spans="2:9" ht="12.75">
      <c r="B62" s="573"/>
      <c r="C62" s="569"/>
      <c r="D62" s="140" t="s">
        <v>151</v>
      </c>
      <c r="E62" s="141">
        <f>H61</f>
        <v>74.85590716096375</v>
      </c>
      <c r="F62" s="141">
        <v>0</v>
      </c>
      <c r="G62" s="141">
        <f>'CoP &amp; MoF'!$C$19/(4*$C$7)</f>
        <v>10.693701022994826</v>
      </c>
      <c r="H62" s="141">
        <f>E62+F62-G62</f>
        <v>64.16220613796892</v>
      </c>
      <c r="I62" s="142">
        <f>(E62+H62)/2*$C$8/4</f>
        <v>2.1721580202958233</v>
      </c>
    </row>
    <row r="63" spans="2:9" ht="12.75">
      <c r="B63" s="573"/>
      <c r="C63" s="569"/>
      <c r="D63" s="140" t="s">
        <v>152</v>
      </c>
      <c r="E63" s="141">
        <f>H62</f>
        <v>64.16220613796892</v>
      </c>
      <c r="F63" s="141">
        <v>0</v>
      </c>
      <c r="G63" s="141">
        <f>'CoP &amp; MoF'!$C$19/(4*$C$7)</f>
        <v>10.693701022994826</v>
      </c>
      <c r="H63" s="141">
        <f>E63+F63-G63</f>
        <v>53.46850511497409</v>
      </c>
      <c r="I63" s="142">
        <f>(E63+H63)/2*$C$8/4</f>
        <v>1.8379798633272346</v>
      </c>
    </row>
    <row r="64" spans="2:9" ht="12.75">
      <c r="B64" s="573"/>
      <c r="C64" s="569"/>
      <c r="D64" s="140" t="s">
        <v>153</v>
      </c>
      <c r="E64" s="141">
        <f>H63</f>
        <v>53.46850511497409</v>
      </c>
      <c r="F64" s="141">
        <v>0</v>
      </c>
      <c r="G64" s="141">
        <f>'CoP &amp; MoF'!$C$19/(4*$C$7)</f>
        <v>10.693701022994826</v>
      </c>
      <c r="H64" s="141">
        <f>E64+F64-G64</f>
        <v>42.77480409197926</v>
      </c>
      <c r="I64" s="142">
        <f>(E64+H64)/2*$C$8/4</f>
        <v>1.5038017063586462</v>
      </c>
    </row>
    <row r="65" spans="2:9" ht="12.75">
      <c r="B65" s="573"/>
      <c r="C65" s="569"/>
      <c r="D65" s="145" t="s">
        <v>17</v>
      </c>
      <c r="E65" s="143">
        <f>E61</f>
        <v>85.54960818395858</v>
      </c>
      <c r="F65" s="143">
        <f>SUM(F61:F64)</f>
        <v>0</v>
      </c>
      <c r="G65" s="143">
        <f>SUM(G61:G64)</f>
        <v>42.774804091979306</v>
      </c>
      <c r="H65" s="143">
        <f>H64</f>
        <v>42.77480409197926</v>
      </c>
      <c r="I65" s="144">
        <f>SUM(I61:I64)</f>
        <v>8.020275767246115</v>
      </c>
    </row>
    <row r="66" spans="2:9" ht="12.75">
      <c r="B66" s="577">
        <f>Assumptions!P18</f>
        <v>2023</v>
      </c>
      <c r="C66" s="578">
        <f>Assumptions!P19</f>
        <v>12</v>
      </c>
      <c r="D66" s="454" t="s">
        <v>150</v>
      </c>
      <c r="E66" s="455">
        <f>H64</f>
        <v>42.77480409197926</v>
      </c>
      <c r="F66" s="455">
        <v>0</v>
      </c>
      <c r="G66" s="455">
        <f>'CoP &amp; MoF'!$C$19/(4*$C$7)</f>
        <v>10.693701022994826</v>
      </c>
      <c r="H66" s="455">
        <f>E66+F66-G66</f>
        <v>32.08110306898443</v>
      </c>
      <c r="I66" s="456">
        <f>(E66+H66)/2*$C$8/4</f>
        <v>1.1696235493900577</v>
      </c>
    </row>
    <row r="67" spans="2:9" ht="12.75">
      <c r="B67" s="577"/>
      <c r="C67" s="578"/>
      <c r="D67" s="454" t="s">
        <v>151</v>
      </c>
      <c r="E67" s="455">
        <f>H66</f>
        <v>32.08110306898443</v>
      </c>
      <c r="F67" s="455">
        <v>0</v>
      </c>
      <c r="G67" s="455">
        <f>'CoP &amp; MoF'!$C$19/(4*$C$7)</f>
        <v>10.693701022994826</v>
      </c>
      <c r="H67" s="455">
        <f>E67+F67-G67</f>
        <v>21.387402045989607</v>
      </c>
      <c r="I67" s="456">
        <f>(E67+H67)/2*$C$8/4</f>
        <v>0.8354453924214693</v>
      </c>
    </row>
    <row r="68" spans="2:9" ht="12.75">
      <c r="B68" s="577"/>
      <c r="C68" s="578"/>
      <c r="D68" s="454" t="s">
        <v>152</v>
      </c>
      <c r="E68" s="455">
        <f>H67</f>
        <v>21.387402045989607</v>
      </c>
      <c r="F68" s="455">
        <v>0</v>
      </c>
      <c r="G68" s="455">
        <f>'CoP &amp; MoF'!$C$19/(4*$C$7)</f>
        <v>10.693701022994826</v>
      </c>
      <c r="H68" s="455">
        <f>E68+F68-G68</f>
        <v>10.69370102299478</v>
      </c>
      <c r="I68" s="456">
        <f>(E68+H68)/2*$C$8/4</f>
        <v>0.5012672354528811</v>
      </c>
    </row>
    <row r="69" spans="2:9" ht="12.75">
      <c r="B69" s="577"/>
      <c r="C69" s="578"/>
      <c r="D69" s="454" t="s">
        <v>153</v>
      </c>
      <c r="E69" s="455">
        <f>H68</f>
        <v>10.69370102299478</v>
      </c>
      <c r="F69" s="455">
        <v>0</v>
      </c>
      <c r="G69" s="455">
        <f>E69</f>
        <v>10.69370102299478</v>
      </c>
      <c r="H69" s="455">
        <f>E69+F69-G69</f>
        <v>0</v>
      </c>
      <c r="I69" s="456">
        <f>(E69+H69)/2*$C$8/4</f>
        <v>0.16708907848429344</v>
      </c>
    </row>
    <row r="70" spans="2:9" ht="12.75">
      <c r="B70" s="577"/>
      <c r="C70" s="578"/>
      <c r="D70" s="457" t="s">
        <v>17</v>
      </c>
      <c r="E70" s="458">
        <f>E66</f>
        <v>42.77480409197926</v>
      </c>
      <c r="F70" s="458">
        <f>SUM(F66:F69)</f>
        <v>0</v>
      </c>
      <c r="G70" s="458">
        <f>SUM(G66:G69)</f>
        <v>42.774804091979256</v>
      </c>
      <c r="H70" s="458">
        <f>H69</f>
        <v>0</v>
      </c>
      <c r="I70" s="459">
        <f>SUM(I66:I69)</f>
        <v>2.6734252557487017</v>
      </c>
    </row>
    <row r="71" spans="2:9" ht="12.75">
      <c r="B71" s="573">
        <f>Assumptions!Q18</f>
        <v>2024</v>
      </c>
      <c r="C71" s="569">
        <f>Assumptions!Q19</f>
        <v>13</v>
      </c>
      <c r="D71" s="140" t="s">
        <v>150</v>
      </c>
      <c r="E71" s="141">
        <f>H69</f>
        <v>0</v>
      </c>
      <c r="F71" s="141">
        <v>0</v>
      </c>
      <c r="G71" s="141">
        <v>0</v>
      </c>
      <c r="H71" s="141">
        <f>E71+F71-G71</f>
        <v>0</v>
      </c>
      <c r="I71" s="142">
        <f>(E71+H71)/2*$C$8/4</f>
        <v>0</v>
      </c>
    </row>
    <row r="72" spans="2:9" ht="12.75">
      <c r="B72" s="573"/>
      <c r="C72" s="569"/>
      <c r="D72" s="140" t="s">
        <v>151</v>
      </c>
      <c r="E72" s="141">
        <f>H71</f>
        <v>0</v>
      </c>
      <c r="F72" s="141">
        <v>0</v>
      </c>
      <c r="G72" s="141">
        <v>0</v>
      </c>
      <c r="H72" s="141">
        <f>E72+F72-G72</f>
        <v>0</v>
      </c>
      <c r="I72" s="142">
        <f>(E72+H72)/2*$C$8/4</f>
        <v>0</v>
      </c>
    </row>
    <row r="73" spans="2:9" ht="12.75">
      <c r="B73" s="573"/>
      <c r="C73" s="569"/>
      <c r="D73" s="140" t="s">
        <v>152</v>
      </c>
      <c r="E73" s="141">
        <f>H72</f>
        <v>0</v>
      </c>
      <c r="F73" s="141">
        <v>0</v>
      </c>
      <c r="G73" s="141">
        <v>0</v>
      </c>
      <c r="H73" s="141">
        <f>E73+F73-G73</f>
        <v>0</v>
      </c>
      <c r="I73" s="142">
        <f>(E73+H73)/2*$C$8/4</f>
        <v>0</v>
      </c>
    </row>
    <row r="74" spans="2:9" ht="12.75">
      <c r="B74" s="573"/>
      <c r="C74" s="569"/>
      <c r="D74" s="140" t="s">
        <v>153</v>
      </c>
      <c r="E74" s="141">
        <f>H73</f>
        <v>0</v>
      </c>
      <c r="F74" s="141">
        <v>0</v>
      </c>
      <c r="G74" s="141">
        <v>0</v>
      </c>
      <c r="H74" s="141">
        <f>E74+F74-G74</f>
        <v>0</v>
      </c>
      <c r="I74" s="142">
        <f>(E74+H74)/2*$C$8/4</f>
        <v>0</v>
      </c>
    </row>
    <row r="75" spans="2:9" ht="12.75">
      <c r="B75" s="573"/>
      <c r="C75" s="569"/>
      <c r="D75" s="145" t="s">
        <v>17</v>
      </c>
      <c r="E75" s="143">
        <f>E71</f>
        <v>0</v>
      </c>
      <c r="F75" s="143">
        <f>SUM(F71:F74)</f>
        <v>0</v>
      </c>
      <c r="G75" s="143">
        <f>SUM(G71:G74)</f>
        <v>0</v>
      </c>
      <c r="H75" s="143">
        <f>H74</f>
        <v>0</v>
      </c>
      <c r="I75" s="144">
        <f>SUM(I71:I74)</f>
        <v>0</v>
      </c>
    </row>
    <row r="76" spans="2:9" ht="12.75">
      <c r="B76" s="573">
        <f>Assumptions!R18</f>
        <v>2025</v>
      </c>
      <c r="C76" s="569">
        <f>Assumptions!R19</f>
        <v>14</v>
      </c>
      <c r="D76" s="140" t="s">
        <v>150</v>
      </c>
      <c r="E76" s="141">
        <f>H74</f>
        <v>0</v>
      </c>
      <c r="F76" s="141">
        <v>0</v>
      </c>
      <c r="G76" s="141">
        <v>0</v>
      </c>
      <c r="H76" s="141">
        <f>E76+F76-G76</f>
        <v>0</v>
      </c>
      <c r="I76" s="142">
        <f>(E76+H76)/2*$C$8/4</f>
        <v>0</v>
      </c>
    </row>
    <row r="77" spans="2:9" ht="12.75">
      <c r="B77" s="573"/>
      <c r="C77" s="569"/>
      <c r="D77" s="140" t="s">
        <v>151</v>
      </c>
      <c r="E77" s="141">
        <f>H76</f>
        <v>0</v>
      </c>
      <c r="F77" s="141">
        <v>0</v>
      </c>
      <c r="G77" s="141">
        <v>0</v>
      </c>
      <c r="H77" s="141">
        <f>E77+F77-G77</f>
        <v>0</v>
      </c>
      <c r="I77" s="142">
        <f>(E77+H77)/2*$C$8/4</f>
        <v>0</v>
      </c>
    </row>
    <row r="78" spans="2:9" ht="12.75">
      <c r="B78" s="573"/>
      <c r="C78" s="569"/>
      <c r="D78" s="140" t="s">
        <v>152</v>
      </c>
      <c r="E78" s="141">
        <f>H77</f>
        <v>0</v>
      </c>
      <c r="F78" s="141">
        <v>0</v>
      </c>
      <c r="G78" s="141">
        <v>0</v>
      </c>
      <c r="H78" s="141">
        <f>E78+F78-G78</f>
        <v>0</v>
      </c>
      <c r="I78" s="142">
        <f>(E78+H78)/2*$C$8/4</f>
        <v>0</v>
      </c>
    </row>
    <row r="79" spans="2:9" ht="12.75">
      <c r="B79" s="573"/>
      <c r="C79" s="569"/>
      <c r="D79" s="140" t="s">
        <v>153</v>
      </c>
      <c r="E79" s="141">
        <f>H78</f>
        <v>0</v>
      </c>
      <c r="F79" s="141">
        <v>0</v>
      </c>
      <c r="G79" s="141">
        <v>0</v>
      </c>
      <c r="H79" s="141">
        <f>E79+F79-G79</f>
        <v>0</v>
      </c>
      <c r="I79" s="142">
        <f>(E79+H79)/2*$C$8/4</f>
        <v>0</v>
      </c>
    </row>
    <row r="80" spans="2:9" ht="12.75">
      <c r="B80" s="573"/>
      <c r="C80" s="569"/>
      <c r="D80" s="145" t="s">
        <v>17</v>
      </c>
      <c r="E80" s="143">
        <f>E76</f>
        <v>0</v>
      </c>
      <c r="F80" s="143">
        <f>SUM(F76:F79)</f>
        <v>0</v>
      </c>
      <c r="G80" s="143">
        <f>SUM(G76:G79)</f>
        <v>0</v>
      </c>
      <c r="H80" s="143">
        <f>H79</f>
        <v>0</v>
      </c>
      <c r="I80" s="144">
        <f>SUM(I76:I79)</f>
        <v>0</v>
      </c>
    </row>
    <row r="81" spans="2:9" ht="13.5" thickBot="1">
      <c r="B81" s="570" t="s">
        <v>156</v>
      </c>
      <c r="C81" s="571"/>
      <c r="D81" s="571"/>
      <c r="E81" s="572"/>
      <c r="F81" s="149">
        <f>SUBTOTAL(9,F15,F20,F25,F30,F35,F40,F45,F50,F55,F60)</f>
        <v>384.9732368278138</v>
      </c>
      <c r="G81" s="149">
        <f>SUBTOTAL(9,G15,G20,G25,G30,G35,G40,G45,G50,G55,G60,G65,G70)</f>
        <v>384.97323682781376</v>
      </c>
      <c r="H81" s="146"/>
      <c r="I81" s="149">
        <f>SUBTOTAL(9,I15,I20,I25,I30,I35,I40,I45,I50,I55,I60,I65,I70)</f>
        <v>308.7394399112307</v>
      </c>
    </row>
  </sheetData>
  <sheetProtection/>
  <mergeCells count="29">
    <mergeCell ref="C51:C55"/>
    <mergeCell ref="B36:B40"/>
    <mergeCell ref="C11:C15"/>
    <mergeCell ref="C16:C20"/>
    <mergeCell ref="C21:C25"/>
    <mergeCell ref="C26:C30"/>
    <mergeCell ref="C31:C35"/>
    <mergeCell ref="C36:C40"/>
    <mergeCell ref="B11:B15"/>
    <mergeCell ref="B16:B20"/>
    <mergeCell ref="B21:B25"/>
    <mergeCell ref="B26:B30"/>
    <mergeCell ref="B31:B35"/>
    <mergeCell ref="C56:C60"/>
    <mergeCell ref="B81:E81"/>
    <mergeCell ref="B41:B45"/>
    <mergeCell ref="B46:B50"/>
    <mergeCell ref="B51:B55"/>
    <mergeCell ref="B56:B60"/>
    <mergeCell ref="B61:B65"/>
    <mergeCell ref="C61:C65"/>
    <mergeCell ref="B66:B70"/>
    <mergeCell ref="C66:C70"/>
    <mergeCell ref="B71:B75"/>
    <mergeCell ref="C71:C75"/>
    <mergeCell ref="B76:B80"/>
    <mergeCell ref="C76:C80"/>
    <mergeCell ref="C41:C45"/>
    <mergeCell ref="C46:C50"/>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17"/>
  <dimension ref="A1:Z53"/>
  <sheetViews>
    <sheetView showGridLines="0" zoomScalePageLayoutView="0" workbookViewId="0" topLeftCell="A1">
      <selection activeCell="A1" sqref="A1"/>
    </sheetView>
  </sheetViews>
  <sheetFormatPr defaultColWidth="9.140625" defaultRowHeight="12.75" outlineLevelRow="1"/>
  <cols>
    <col min="1" max="1" width="31.140625" style="0" bestFit="1" customWidth="1"/>
    <col min="3" max="3" width="9.140625" style="0" customWidth="1"/>
    <col min="5" max="24" width="9.140625" style="0" customWidth="1"/>
  </cols>
  <sheetData>
    <row r="1" spans="1:3" ht="15">
      <c r="A1" s="133" t="str">
        <f>Assumptions!A1</f>
        <v>AURANGABAD WATER SUPPLY PROJECT</v>
      </c>
      <c r="B1" s="134"/>
      <c r="C1" s="134"/>
    </row>
    <row r="3" spans="1:24" ht="12.75">
      <c r="A3" s="3" t="s">
        <v>81</v>
      </c>
      <c r="B3" s="3"/>
      <c r="C3" s="1"/>
      <c r="D3" s="1"/>
      <c r="E3" s="2"/>
      <c r="F3" s="2"/>
      <c r="G3" s="2"/>
      <c r="H3" s="2"/>
      <c r="I3" s="2"/>
      <c r="J3" s="2"/>
      <c r="K3" s="1"/>
      <c r="L3" s="1"/>
      <c r="M3" s="1"/>
      <c r="N3" s="1"/>
      <c r="O3" s="1"/>
      <c r="P3" s="1"/>
      <c r="Q3" s="1"/>
      <c r="R3" s="1"/>
      <c r="S3" s="1"/>
      <c r="T3" s="1"/>
      <c r="U3" s="1"/>
      <c r="V3" s="1"/>
      <c r="W3" s="1"/>
      <c r="X3" s="1"/>
    </row>
    <row r="4" spans="1:24" s="66" customFormat="1" ht="12.75">
      <c r="A4" s="8" t="str">
        <f>Assumptions!C3</f>
        <v>Rs. in Crores</v>
      </c>
      <c r="B4" s="19"/>
      <c r="C4" s="2"/>
      <c r="D4" s="2"/>
      <c r="E4" s="2"/>
      <c r="F4" s="2"/>
      <c r="G4" s="2"/>
      <c r="H4" s="2"/>
      <c r="I4" s="2"/>
      <c r="J4" s="2"/>
      <c r="K4" s="2"/>
      <c r="L4" s="2"/>
      <c r="M4" s="2"/>
      <c r="N4" s="2"/>
      <c r="O4" s="2"/>
      <c r="P4" s="2"/>
      <c r="Q4" s="2"/>
      <c r="R4" s="2"/>
      <c r="S4" s="2"/>
      <c r="T4" s="2"/>
      <c r="U4" s="2"/>
      <c r="V4" s="2"/>
      <c r="W4" s="2"/>
      <c r="X4" s="2"/>
    </row>
    <row r="5" spans="1:24" ht="12.75" outlineLevel="1">
      <c r="A5" s="1" t="s">
        <v>3</v>
      </c>
      <c r="B5" s="1"/>
      <c r="C5" s="14">
        <f>'CoP &amp; MoF'!D8</f>
        <v>537.5617868964961</v>
      </c>
      <c r="D5" s="1"/>
      <c r="E5" s="2"/>
      <c r="F5" s="2"/>
      <c r="G5" s="2"/>
      <c r="H5" s="2"/>
      <c r="I5" s="2"/>
      <c r="J5" s="2"/>
      <c r="K5" s="1"/>
      <c r="L5" s="1"/>
      <c r="M5" s="1"/>
      <c r="N5" s="1"/>
      <c r="O5" s="1"/>
      <c r="P5" s="1"/>
      <c r="Q5" s="1"/>
      <c r="R5" s="1"/>
      <c r="S5" s="1"/>
      <c r="T5" s="1"/>
      <c r="U5" s="1"/>
      <c r="V5" s="1"/>
      <c r="W5" s="1"/>
      <c r="X5" s="1"/>
    </row>
    <row r="6" spans="1:24" ht="12.75" outlineLevel="1">
      <c r="A6" s="1" t="s">
        <v>4</v>
      </c>
      <c r="B6" s="1"/>
      <c r="C6" s="14">
        <f>'CoP &amp; MoF'!D9</f>
        <v>54.704731300140494</v>
      </c>
      <c r="D6" s="1"/>
      <c r="E6" s="2"/>
      <c r="F6" s="2"/>
      <c r="G6" s="2"/>
      <c r="H6" s="2"/>
      <c r="I6" s="2"/>
      <c r="J6" s="2"/>
      <c r="K6" s="1"/>
      <c r="L6" s="1"/>
      <c r="M6" s="1"/>
      <c r="N6" s="1"/>
      <c r="O6" s="1"/>
      <c r="P6" s="1"/>
      <c r="Q6" s="1"/>
      <c r="R6" s="1"/>
      <c r="S6" s="1"/>
      <c r="T6" s="1"/>
      <c r="U6" s="1"/>
      <c r="V6" s="1"/>
      <c r="W6" s="1"/>
      <c r="X6" s="1"/>
    </row>
    <row r="7" spans="1:24" ht="12.75" outlineLevel="1">
      <c r="A7" s="36" t="s">
        <v>17</v>
      </c>
      <c r="B7" s="36"/>
      <c r="C7" s="37">
        <f>C5+C6</f>
        <v>592.2665181966365</v>
      </c>
      <c r="D7" s="1"/>
      <c r="E7" s="1"/>
      <c r="F7" s="1"/>
      <c r="G7" s="1"/>
      <c r="H7" s="1"/>
      <c r="I7" s="1"/>
      <c r="J7" s="1"/>
      <c r="K7" s="1"/>
      <c r="L7" s="1"/>
      <c r="M7" s="1"/>
      <c r="N7" s="1"/>
      <c r="O7" s="1"/>
      <c r="P7" s="1"/>
      <c r="Q7" s="1"/>
      <c r="R7" s="1"/>
      <c r="S7" s="1"/>
      <c r="T7" s="1"/>
      <c r="U7" s="1"/>
      <c r="V7" s="1"/>
      <c r="W7" s="1"/>
      <c r="X7" s="1"/>
    </row>
    <row r="8" spans="1:24" ht="12.75" outlineLevel="1">
      <c r="A8" s="12" t="s">
        <v>82</v>
      </c>
      <c r="B8" s="12"/>
      <c r="C8" s="15">
        <f>'CoP &amp; MoF'!D12</f>
        <v>92.1919941955855</v>
      </c>
      <c r="D8" s="1"/>
      <c r="E8" s="1"/>
      <c r="F8" s="1"/>
      <c r="G8" s="1"/>
      <c r="H8" s="1"/>
      <c r="I8" s="1"/>
      <c r="J8" s="1"/>
      <c r="K8" s="1"/>
      <c r="L8" s="1"/>
      <c r="M8" s="1"/>
      <c r="N8" s="1"/>
      <c r="O8" s="1"/>
      <c r="P8" s="1"/>
      <c r="Q8" s="1"/>
      <c r="R8" s="1"/>
      <c r="S8" s="1"/>
      <c r="T8" s="1"/>
      <c r="U8" s="1"/>
      <c r="V8" s="1"/>
      <c r="W8" s="1"/>
      <c r="X8" s="1"/>
    </row>
    <row r="9" spans="1:24" ht="12.75" outlineLevel="1">
      <c r="A9" s="12" t="s">
        <v>83</v>
      </c>
      <c r="B9" s="12"/>
      <c r="C9" s="1"/>
      <c r="D9" s="1"/>
      <c r="E9" s="1"/>
      <c r="F9" s="1"/>
      <c r="G9" s="1"/>
      <c r="H9" s="1"/>
      <c r="I9" s="1"/>
      <c r="J9" s="1"/>
      <c r="K9" s="1"/>
      <c r="L9" s="1"/>
      <c r="M9" s="1"/>
      <c r="N9" s="1"/>
      <c r="O9" s="1"/>
      <c r="P9" s="1"/>
      <c r="Q9" s="1"/>
      <c r="R9" s="1"/>
      <c r="S9" s="1"/>
      <c r="T9" s="1"/>
      <c r="U9" s="1"/>
      <c r="V9" s="1"/>
      <c r="W9" s="1"/>
      <c r="X9" s="1"/>
    </row>
    <row r="10" spans="1:24" ht="12.75" outlineLevel="1">
      <c r="A10" s="13" t="s">
        <v>84</v>
      </c>
      <c r="B10" s="13"/>
      <c r="C10" s="14">
        <f>C8*C5/C7</f>
        <v>83.67667530528283</v>
      </c>
      <c r="D10" s="1"/>
      <c r="E10" s="1"/>
      <c r="F10" s="1"/>
      <c r="G10" s="1"/>
      <c r="H10" s="1"/>
      <c r="I10" s="1"/>
      <c r="J10" s="1"/>
      <c r="K10" s="1"/>
      <c r="L10" s="1"/>
      <c r="M10" s="1"/>
      <c r="N10" s="1"/>
      <c r="O10" s="1"/>
      <c r="P10" s="1"/>
      <c r="Q10" s="1"/>
      <c r="R10" s="1"/>
      <c r="S10" s="1"/>
      <c r="T10" s="1"/>
      <c r="U10" s="1"/>
      <c r="V10" s="1"/>
      <c r="W10" s="1"/>
      <c r="X10" s="1"/>
    </row>
    <row r="11" spans="1:24" ht="12.75" outlineLevel="1">
      <c r="A11" s="13" t="s">
        <v>9</v>
      </c>
      <c r="B11" s="13"/>
      <c r="C11" s="14">
        <f>C8*C6/C7</f>
        <v>8.515318890302682</v>
      </c>
      <c r="D11" s="1"/>
      <c r="E11" s="1"/>
      <c r="F11" s="1"/>
      <c r="G11" s="1"/>
      <c r="H11" s="1"/>
      <c r="I11" s="1"/>
      <c r="J11" s="1"/>
      <c r="K11" s="1"/>
      <c r="L11" s="1"/>
      <c r="M11" s="1"/>
      <c r="N11" s="1"/>
      <c r="O11" s="1"/>
      <c r="P11" s="1"/>
      <c r="Q11" s="1"/>
      <c r="R11" s="1"/>
      <c r="S11" s="1"/>
      <c r="T11" s="1"/>
      <c r="U11" s="1"/>
      <c r="V11" s="1"/>
      <c r="W11" s="1"/>
      <c r="X11" s="1"/>
    </row>
    <row r="12" spans="1:24" ht="12.75" outlineLevel="1">
      <c r="A12" s="12" t="s">
        <v>17</v>
      </c>
      <c r="B12" s="12"/>
      <c r="C12" s="15">
        <f>C13+C14</f>
        <v>684.4585123922221</v>
      </c>
      <c r="D12" s="1"/>
      <c r="E12" s="1"/>
      <c r="F12" s="1"/>
      <c r="G12" s="1"/>
      <c r="H12" s="1"/>
      <c r="I12" s="1"/>
      <c r="J12" s="1"/>
      <c r="K12" s="1"/>
      <c r="L12" s="1"/>
      <c r="M12" s="1"/>
      <c r="N12" s="1"/>
      <c r="O12" s="1"/>
      <c r="P12" s="1"/>
      <c r="Q12" s="1"/>
      <c r="R12" s="1"/>
      <c r="S12" s="1"/>
      <c r="T12" s="1"/>
      <c r="U12" s="1"/>
      <c r="V12" s="1"/>
      <c r="W12" s="1"/>
      <c r="X12" s="1"/>
    </row>
    <row r="13" spans="1:24" ht="12.75" outlineLevel="1">
      <c r="A13" s="13" t="s">
        <v>84</v>
      </c>
      <c r="B13" s="13"/>
      <c r="C13" s="14">
        <f>C5+C10</f>
        <v>621.2384622017789</v>
      </c>
      <c r="D13" s="1"/>
      <c r="E13" s="1"/>
      <c r="F13" s="1"/>
      <c r="G13" s="1"/>
      <c r="H13" s="1"/>
      <c r="I13" s="1"/>
      <c r="J13" s="1"/>
      <c r="K13" s="1"/>
      <c r="L13" s="1"/>
      <c r="M13" s="1"/>
      <c r="N13" s="1"/>
      <c r="O13" s="1"/>
      <c r="P13" s="1"/>
      <c r="Q13" s="1"/>
      <c r="R13" s="1"/>
      <c r="S13" s="1"/>
      <c r="T13" s="1"/>
      <c r="U13" s="1"/>
      <c r="V13" s="1"/>
      <c r="W13" s="1"/>
      <c r="X13" s="1"/>
    </row>
    <row r="14" spans="1:24" ht="12.75" outlineLevel="1">
      <c r="A14" s="13" t="s">
        <v>9</v>
      </c>
      <c r="B14" s="13"/>
      <c r="C14" s="14">
        <f>C6+C11</f>
        <v>63.220050190443175</v>
      </c>
      <c r="D14" s="1"/>
      <c r="E14" s="1"/>
      <c r="F14" s="1"/>
      <c r="G14" s="1"/>
      <c r="H14" s="1"/>
      <c r="I14" s="1"/>
      <c r="J14" s="1"/>
      <c r="K14" s="1"/>
      <c r="L14" s="1"/>
      <c r="M14" s="1"/>
      <c r="N14" s="1"/>
      <c r="O14" s="1"/>
      <c r="P14" s="1"/>
      <c r="Q14" s="1"/>
      <c r="R14" s="1"/>
      <c r="S14" s="1"/>
      <c r="T14" s="1"/>
      <c r="U14" s="1"/>
      <c r="V14" s="1"/>
      <c r="W14" s="1"/>
      <c r="X14" s="1"/>
    </row>
    <row r="15" spans="1:24" ht="12.75">
      <c r="A15" s="13"/>
      <c r="B15" s="13"/>
      <c r="C15" s="14"/>
      <c r="D15" s="1"/>
      <c r="E15" s="1"/>
      <c r="F15" s="1"/>
      <c r="G15" s="1"/>
      <c r="H15" s="1"/>
      <c r="I15" s="1"/>
      <c r="J15" s="1"/>
      <c r="K15" s="1"/>
      <c r="L15" s="1"/>
      <c r="M15" s="1"/>
      <c r="N15" s="1"/>
      <c r="O15" s="1"/>
      <c r="P15" s="1"/>
      <c r="Q15" s="1"/>
      <c r="R15" s="1"/>
      <c r="S15" s="1"/>
      <c r="T15" s="1"/>
      <c r="U15" s="1"/>
      <c r="V15" s="1"/>
      <c r="W15" s="1"/>
      <c r="X15" s="1"/>
    </row>
    <row r="16" spans="1:24" s="65" customFormat="1" ht="12.75">
      <c r="A16" s="4" t="s">
        <v>0</v>
      </c>
      <c r="B16" s="71"/>
      <c r="C16" s="72"/>
      <c r="D16" s="72"/>
      <c r="E16" s="73">
        <f>Assumptions!E18</f>
        <v>2012</v>
      </c>
      <c r="F16" s="73">
        <f>Assumptions!F18</f>
        <v>2013</v>
      </c>
      <c r="G16" s="73">
        <f>Assumptions!G18</f>
        <v>2014</v>
      </c>
      <c r="H16" s="73">
        <f>Assumptions!H18</f>
        <v>2015</v>
      </c>
      <c r="I16" s="73">
        <f>Assumptions!I18</f>
        <v>2016</v>
      </c>
      <c r="J16" s="73">
        <f>Assumptions!J18</f>
        <v>2017</v>
      </c>
      <c r="K16" s="73">
        <f>Assumptions!K18</f>
        <v>2018</v>
      </c>
      <c r="L16" s="73">
        <f>Assumptions!L18</f>
        <v>2019</v>
      </c>
      <c r="M16" s="73">
        <f>Assumptions!M18</f>
        <v>2020</v>
      </c>
      <c r="N16" s="73">
        <f>Assumptions!N18</f>
        <v>2021</v>
      </c>
      <c r="O16" s="73">
        <f>Assumptions!O18</f>
        <v>2022</v>
      </c>
      <c r="P16" s="73">
        <f>Assumptions!P18</f>
        <v>2023</v>
      </c>
      <c r="Q16" s="73">
        <f>Assumptions!Q18</f>
        <v>2024</v>
      </c>
      <c r="R16" s="73">
        <f>Assumptions!R18</f>
        <v>2025</v>
      </c>
      <c r="S16" s="73">
        <f>Assumptions!S18</f>
        <v>2026</v>
      </c>
      <c r="T16" s="73">
        <f>Assumptions!T18</f>
        <v>2027</v>
      </c>
      <c r="U16" s="73">
        <f>Assumptions!U18</f>
        <v>2028</v>
      </c>
      <c r="V16" s="73">
        <f>Assumptions!V18</f>
        <v>2029</v>
      </c>
      <c r="W16" s="73">
        <f>Assumptions!W18</f>
        <v>2030</v>
      </c>
      <c r="X16" s="73">
        <f>Assumptions!X18</f>
        <v>2031</v>
      </c>
    </row>
    <row r="17" spans="1:24" s="65" customFormat="1" ht="12.75">
      <c r="A17" s="4" t="s">
        <v>1</v>
      </c>
      <c r="B17" s="71"/>
      <c r="C17" s="72"/>
      <c r="D17" s="72"/>
      <c r="E17" s="73">
        <f>Assumptions!E19</f>
        <v>1</v>
      </c>
      <c r="F17" s="73">
        <f>Assumptions!F19</f>
        <v>2</v>
      </c>
      <c r="G17" s="73">
        <f>Assumptions!G19</f>
        <v>3</v>
      </c>
      <c r="H17" s="73">
        <f>Assumptions!H19</f>
        <v>4</v>
      </c>
      <c r="I17" s="73">
        <f>Assumptions!I19</f>
        <v>5</v>
      </c>
      <c r="J17" s="73">
        <f>Assumptions!J19</f>
        <v>6</v>
      </c>
      <c r="K17" s="73">
        <f>Assumptions!K19</f>
        <v>7</v>
      </c>
      <c r="L17" s="73">
        <f>Assumptions!L19</f>
        <v>8</v>
      </c>
      <c r="M17" s="73">
        <f>Assumptions!M19</f>
        <v>9</v>
      </c>
      <c r="N17" s="73">
        <f>Assumptions!N19</f>
        <v>10</v>
      </c>
      <c r="O17" s="73">
        <f>Assumptions!O19</f>
        <v>11</v>
      </c>
      <c r="P17" s="73">
        <f>Assumptions!P19</f>
        <v>12</v>
      </c>
      <c r="Q17" s="73">
        <f>Assumptions!Q19</f>
        <v>13</v>
      </c>
      <c r="R17" s="73">
        <f>Assumptions!R19</f>
        <v>14</v>
      </c>
      <c r="S17" s="73">
        <f>Assumptions!S19</f>
        <v>15</v>
      </c>
      <c r="T17" s="73">
        <f>Assumptions!T19</f>
        <v>16</v>
      </c>
      <c r="U17" s="73">
        <f>Assumptions!U19</f>
        <v>17</v>
      </c>
      <c r="V17" s="73">
        <f>Assumptions!V19</f>
        <v>18</v>
      </c>
      <c r="W17" s="73">
        <f>Assumptions!W19</f>
        <v>19</v>
      </c>
      <c r="X17" s="73">
        <f>Assumptions!X19</f>
        <v>20</v>
      </c>
    </row>
    <row r="18" spans="1:24" ht="12.75">
      <c r="A18" s="12" t="s">
        <v>85</v>
      </c>
      <c r="B18" s="12"/>
      <c r="C18" s="1"/>
      <c r="D18" s="1"/>
      <c r="E18" s="1"/>
      <c r="F18" s="1"/>
      <c r="G18" s="1"/>
      <c r="H18" s="1"/>
      <c r="I18" s="1"/>
      <c r="J18" s="1"/>
      <c r="K18" s="1"/>
      <c r="L18" s="1"/>
      <c r="M18" s="1"/>
      <c r="N18" s="1"/>
      <c r="O18" s="1"/>
      <c r="P18" s="1"/>
      <c r="Q18" s="1"/>
      <c r="R18" s="1"/>
      <c r="S18" s="1"/>
      <c r="T18" s="1"/>
      <c r="U18" s="1"/>
      <c r="V18" s="1"/>
      <c r="W18" s="1"/>
      <c r="X18" s="1"/>
    </row>
    <row r="19" spans="1:24" ht="12.75" outlineLevel="1">
      <c r="A19" s="1" t="s">
        <v>69</v>
      </c>
      <c r="B19" s="1"/>
      <c r="C19" s="1"/>
      <c r="D19" s="1"/>
      <c r="E19" s="14">
        <f>'CoP &amp; MoF'!E14-'CoP &amp; MoF'!E13</f>
        <v>286.6290735824166</v>
      </c>
      <c r="F19" s="14">
        <f aca="true" t="shared" si="0" ref="F19:X19">E22</f>
        <v>286.6290735824166</v>
      </c>
      <c r="G19" s="14">
        <f t="shared" si="0"/>
        <v>608.3533957446253</v>
      </c>
      <c r="H19" s="14">
        <f t="shared" si="0"/>
        <v>684.4585123922221</v>
      </c>
      <c r="I19" s="14">
        <f t="shared" si="0"/>
        <v>689.4585123922221</v>
      </c>
      <c r="J19" s="14">
        <f t="shared" si="0"/>
        <v>694.4585123922221</v>
      </c>
      <c r="K19" s="14">
        <f t="shared" si="0"/>
        <v>699.4585123922221</v>
      </c>
      <c r="L19" s="14">
        <f t="shared" si="0"/>
        <v>709.4585123922221</v>
      </c>
      <c r="M19" s="14">
        <f t="shared" si="0"/>
        <v>719.9585123922221</v>
      </c>
      <c r="N19" s="14">
        <f t="shared" si="0"/>
        <v>730.9835123922221</v>
      </c>
      <c r="O19" s="14">
        <f t="shared" si="0"/>
        <v>742.5597623922221</v>
      </c>
      <c r="P19" s="14">
        <f t="shared" si="0"/>
        <v>754.714824892222</v>
      </c>
      <c r="Q19" s="14">
        <f t="shared" si="0"/>
        <v>767.4776405172221</v>
      </c>
      <c r="R19" s="14">
        <f t="shared" si="0"/>
        <v>780.8785969234721</v>
      </c>
      <c r="S19" s="14">
        <f t="shared" si="0"/>
        <v>794.9496011500346</v>
      </c>
      <c r="T19" s="14">
        <f t="shared" si="0"/>
        <v>809.7241555879252</v>
      </c>
      <c r="U19" s="14">
        <f t="shared" si="0"/>
        <v>825.2374377477104</v>
      </c>
      <c r="V19" s="14">
        <f t="shared" si="0"/>
        <v>841.5263840154848</v>
      </c>
      <c r="W19" s="14">
        <f t="shared" si="0"/>
        <v>858.629777596648</v>
      </c>
      <c r="X19" s="14">
        <f t="shared" si="0"/>
        <v>876.5883408568693</v>
      </c>
    </row>
    <row r="20" spans="1:24" ht="12.75" outlineLevel="1">
      <c r="A20" s="1" t="s">
        <v>86</v>
      </c>
      <c r="B20" s="1"/>
      <c r="C20" s="1"/>
      <c r="D20" s="1"/>
      <c r="E20" s="14">
        <v>0</v>
      </c>
      <c r="F20" s="14">
        <f>'CoP &amp; MoF'!F14-'CoP &amp; MoF'!F13</f>
        <v>321.72432216220875</v>
      </c>
      <c r="G20" s="14">
        <f>'CoP &amp; MoF'!G14-'CoP &amp; MoF'!G13</f>
        <v>76.10511664759674</v>
      </c>
      <c r="H20" s="14">
        <f>'CoP &amp; MoF'!H14-'CoP &amp; MoF'!H13</f>
        <v>5</v>
      </c>
      <c r="I20" s="14">
        <f>'CoP &amp; MoF'!I14-'CoP &amp; MoF'!I13</f>
        <v>5</v>
      </c>
      <c r="J20" s="14">
        <f>'CoP &amp; MoF'!J14-'CoP &amp; MoF'!J13</f>
        <v>5</v>
      </c>
      <c r="K20" s="14">
        <f>'CoP &amp; MoF'!K14-'CoP &amp; MoF'!K13</f>
        <v>10</v>
      </c>
      <c r="L20" s="14">
        <f>'CoP &amp; MoF'!L14-'CoP &amp; MoF'!L13</f>
        <v>10.5</v>
      </c>
      <c r="M20" s="14">
        <f>'CoP &amp; MoF'!M14-'CoP &amp; MoF'!M13</f>
        <v>11.025</v>
      </c>
      <c r="N20" s="14">
        <f>'CoP &amp; MoF'!N14-'CoP &amp; MoF'!N13</f>
        <v>11.576250000000002</v>
      </c>
      <c r="O20" s="14">
        <f>'CoP &amp; MoF'!O14-'CoP &amp; MoF'!O13</f>
        <v>12.155062500000001</v>
      </c>
      <c r="P20" s="14">
        <f>'CoP &amp; MoF'!P14-'CoP &amp; MoF'!P13</f>
        <v>12.762815625000002</v>
      </c>
      <c r="Q20" s="14">
        <f>'CoP &amp; MoF'!Q14-'CoP &amp; MoF'!Q13</f>
        <v>13.400956406250003</v>
      </c>
      <c r="R20" s="14">
        <f>'CoP &amp; MoF'!R14-'CoP &amp; MoF'!R13</f>
        <v>14.071004226562504</v>
      </c>
      <c r="S20" s="14">
        <f>'CoP &amp; MoF'!S14-'CoP &amp; MoF'!S13</f>
        <v>14.77455443789063</v>
      </c>
      <c r="T20" s="14">
        <f>'CoP &amp; MoF'!T14-'CoP &amp; MoF'!T13</f>
        <v>15.513282159785163</v>
      </c>
      <c r="U20" s="14">
        <f>'CoP &amp; MoF'!U14-'CoP &amp; MoF'!U13</f>
        <v>16.28894626777442</v>
      </c>
      <c r="V20" s="14">
        <f>'CoP &amp; MoF'!V14-'CoP &amp; MoF'!V13</f>
        <v>17.103393581163143</v>
      </c>
      <c r="W20" s="14">
        <f>'CoP &amp; MoF'!W14-'CoP &amp; MoF'!W13</f>
        <v>17.9585632602213</v>
      </c>
      <c r="X20" s="14">
        <f>'CoP &amp; MoF'!X14-'CoP &amp; MoF'!X13</f>
        <v>18.856491423232367</v>
      </c>
    </row>
    <row r="21" spans="1:24" ht="12.75" outlineLevel="1">
      <c r="A21" s="1" t="s">
        <v>87</v>
      </c>
      <c r="B21" s="1"/>
      <c r="C21" s="1"/>
      <c r="D21" s="1"/>
      <c r="E21" s="14">
        <v>0</v>
      </c>
      <c r="F21" s="14">
        <v>0</v>
      </c>
      <c r="G21" s="14">
        <f aca="true" t="shared" si="1" ref="G21:X21">F21</f>
        <v>0</v>
      </c>
      <c r="H21" s="14">
        <f t="shared" si="1"/>
        <v>0</v>
      </c>
      <c r="I21" s="14">
        <f t="shared" si="1"/>
        <v>0</v>
      </c>
      <c r="J21" s="14">
        <f t="shared" si="1"/>
        <v>0</v>
      </c>
      <c r="K21" s="14">
        <f t="shared" si="1"/>
        <v>0</v>
      </c>
      <c r="L21" s="14">
        <f t="shared" si="1"/>
        <v>0</v>
      </c>
      <c r="M21" s="14">
        <f t="shared" si="1"/>
        <v>0</v>
      </c>
      <c r="N21" s="14">
        <f t="shared" si="1"/>
        <v>0</v>
      </c>
      <c r="O21" s="14">
        <f t="shared" si="1"/>
        <v>0</v>
      </c>
      <c r="P21" s="14">
        <f t="shared" si="1"/>
        <v>0</v>
      </c>
      <c r="Q21" s="14">
        <f t="shared" si="1"/>
        <v>0</v>
      </c>
      <c r="R21" s="14">
        <f t="shared" si="1"/>
        <v>0</v>
      </c>
      <c r="S21" s="14">
        <f t="shared" si="1"/>
        <v>0</v>
      </c>
      <c r="T21" s="14">
        <f t="shared" si="1"/>
        <v>0</v>
      </c>
      <c r="U21" s="14">
        <f t="shared" si="1"/>
        <v>0</v>
      </c>
      <c r="V21" s="14">
        <f t="shared" si="1"/>
        <v>0</v>
      </c>
      <c r="W21" s="14">
        <f t="shared" si="1"/>
        <v>0</v>
      </c>
      <c r="X21" s="14">
        <f t="shared" si="1"/>
        <v>0</v>
      </c>
    </row>
    <row r="22" spans="1:24" ht="12.75" outlineLevel="1">
      <c r="A22" s="33" t="s">
        <v>88</v>
      </c>
      <c r="B22" s="33"/>
      <c r="C22" s="33"/>
      <c r="D22" s="33"/>
      <c r="E22" s="34">
        <f aca="true" t="shared" si="2" ref="E22:X22">E19+E20-E21</f>
        <v>286.6290735824166</v>
      </c>
      <c r="F22" s="34">
        <f t="shared" si="2"/>
        <v>608.3533957446253</v>
      </c>
      <c r="G22" s="34">
        <f t="shared" si="2"/>
        <v>684.4585123922221</v>
      </c>
      <c r="H22" s="34">
        <f t="shared" si="2"/>
        <v>689.4585123922221</v>
      </c>
      <c r="I22" s="34">
        <f t="shared" si="2"/>
        <v>694.4585123922221</v>
      </c>
      <c r="J22" s="34">
        <f t="shared" si="2"/>
        <v>699.4585123922221</v>
      </c>
      <c r="K22" s="34">
        <f t="shared" si="2"/>
        <v>709.4585123922221</v>
      </c>
      <c r="L22" s="34">
        <f t="shared" si="2"/>
        <v>719.9585123922221</v>
      </c>
      <c r="M22" s="34">
        <f t="shared" si="2"/>
        <v>730.9835123922221</v>
      </c>
      <c r="N22" s="34">
        <f t="shared" si="2"/>
        <v>742.5597623922221</v>
      </c>
      <c r="O22" s="34">
        <f t="shared" si="2"/>
        <v>754.714824892222</v>
      </c>
      <c r="P22" s="34">
        <f t="shared" si="2"/>
        <v>767.4776405172221</v>
      </c>
      <c r="Q22" s="34">
        <f t="shared" si="2"/>
        <v>780.8785969234721</v>
      </c>
      <c r="R22" s="34">
        <f t="shared" si="2"/>
        <v>794.9496011500346</v>
      </c>
      <c r="S22" s="34">
        <f t="shared" si="2"/>
        <v>809.7241555879252</v>
      </c>
      <c r="T22" s="34">
        <f t="shared" si="2"/>
        <v>825.2374377477104</v>
      </c>
      <c r="U22" s="34">
        <f t="shared" si="2"/>
        <v>841.5263840154848</v>
      </c>
      <c r="V22" s="34">
        <f t="shared" si="2"/>
        <v>858.629777596648</v>
      </c>
      <c r="W22" s="34">
        <f t="shared" si="2"/>
        <v>876.5883408568693</v>
      </c>
      <c r="X22" s="34">
        <f t="shared" si="2"/>
        <v>895.4448322801017</v>
      </c>
    </row>
    <row r="23" spans="1:24" ht="12.75" outlineLevel="1">
      <c r="A23" s="1"/>
      <c r="B23" s="1"/>
      <c r="C23" s="1"/>
      <c r="D23" s="1"/>
      <c r="E23" s="1"/>
      <c r="F23" s="1"/>
      <c r="G23" s="1"/>
      <c r="H23" s="1"/>
      <c r="I23" s="1"/>
      <c r="J23" s="1"/>
      <c r="K23" s="1"/>
      <c r="L23" s="1"/>
      <c r="M23" s="1"/>
      <c r="N23" s="1"/>
      <c r="O23" s="1"/>
      <c r="P23" s="1"/>
      <c r="Q23" s="1"/>
      <c r="R23" s="1"/>
      <c r="S23" s="1"/>
      <c r="T23" s="1"/>
      <c r="U23" s="1"/>
      <c r="V23" s="1"/>
      <c r="W23" s="1"/>
      <c r="X23" s="1"/>
    </row>
    <row r="24" spans="1:24" ht="12.75" outlineLevel="1">
      <c r="A24" s="12" t="s">
        <v>89</v>
      </c>
      <c r="B24" s="12"/>
      <c r="C24" s="1"/>
      <c r="D24" s="1"/>
      <c r="E24" s="1"/>
      <c r="F24" s="1"/>
      <c r="G24" s="1"/>
      <c r="H24" s="1"/>
      <c r="I24" s="1"/>
      <c r="J24" s="1"/>
      <c r="K24" s="1"/>
      <c r="L24" s="1"/>
      <c r="M24" s="1"/>
      <c r="N24" s="1"/>
      <c r="O24" s="1"/>
      <c r="P24" s="1"/>
      <c r="Q24" s="1"/>
      <c r="R24" s="1"/>
      <c r="S24" s="1"/>
      <c r="T24" s="1"/>
      <c r="U24" s="1"/>
      <c r="V24" s="1"/>
      <c r="W24" s="1"/>
      <c r="X24" s="1"/>
    </row>
    <row r="25" spans="1:24" ht="12.75" outlineLevel="1">
      <c r="A25" s="1" t="s">
        <v>69</v>
      </c>
      <c r="B25" s="1"/>
      <c r="C25" s="1"/>
      <c r="D25" s="1"/>
      <c r="E25" s="14">
        <f>D28</f>
        <v>0</v>
      </c>
      <c r="F25" s="14">
        <f>E28</f>
        <v>14.33145367912083</v>
      </c>
      <c r="G25" s="14">
        <f aca="true" t="shared" si="3" ref="G25:X25">F28</f>
        <v>44.7491234663521</v>
      </c>
      <c r="H25" s="14">
        <f t="shared" si="3"/>
        <v>78.97204908596322</v>
      </c>
      <c r="I25" s="14">
        <f t="shared" si="3"/>
        <v>113.44497470557434</v>
      </c>
      <c r="J25" s="14">
        <f t="shared" si="3"/>
        <v>148.16790032518546</v>
      </c>
      <c r="K25" s="14">
        <f t="shared" si="3"/>
        <v>183.14082594479657</v>
      </c>
      <c r="L25" s="14">
        <f t="shared" si="3"/>
        <v>218.6137515644077</v>
      </c>
      <c r="M25" s="14">
        <f t="shared" si="3"/>
        <v>254.6116771840188</v>
      </c>
      <c r="N25" s="14">
        <f t="shared" si="3"/>
        <v>291.1608528036299</v>
      </c>
      <c r="O25" s="14">
        <f t="shared" si="3"/>
        <v>328.28884092324097</v>
      </c>
      <c r="P25" s="14">
        <f t="shared" si="3"/>
        <v>366.0245821678521</v>
      </c>
      <c r="Q25" s="14">
        <f t="shared" si="3"/>
        <v>404.3984641937132</v>
      </c>
      <c r="R25" s="14">
        <f t="shared" si="3"/>
        <v>443.44239403988684</v>
      </c>
      <c r="S25" s="14">
        <f t="shared" si="3"/>
        <v>483.18987409738855</v>
      </c>
      <c r="T25" s="14">
        <f t="shared" si="3"/>
        <v>523.6760818767848</v>
      </c>
      <c r="U25" s="14">
        <f t="shared" si="3"/>
        <v>564.9379537641703</v>
      </c>
      <c r="V25" s="14">
        <f t="shared" si="3"/>
        <v>607.0142729649446</v>
      </c>
      <c r="W25" s="14">
        <f t="shared" si="3"/>
        <v>649.9457618447769</v>
      </c>
      <c r="X25" s="14">
        <f t="shared" si="3"/>
        <v>693.7751788876204</v>
      </c>
    </row>
    <row r="26" spans="1:24" ht="12.75" outlineLevel="1">
      <c r="A26" s="1" t="s">
        <v>86</v>
      </c>
      <c r="B26" s="1"/>
      <c r="C26" s="1"/>
      <c r="D26" s="1"/>
      <c r="E26" s="14">
        <f>MIN(E22*Assumptions!$C$133,E31)</f>
        <v>14.33145367912083</v>
      </c>
      <c r="F26" s="14">
        <f>MIN(F22*Assumptions!$C$133,F31)</f>
        <v>30.41766978723127</v>
      </c>
      <c r="G26" s="14">
        <f>MIN(G22*Assumptions!$C$133,G31)</f>
        <v>34.22292561961111</v>
      </c>
      <c r="H26" s="14">
        <f>MIN(H22*Assumptions!$C$133,H31)</f>
        <v>34.47292561961111</v>
      </c>
      <c r="I26" s="14">
        <f>MIN(I22*Assumptions!$C$133,I31)</f>
        <v>34.72292561961111</v>
      </c>
      <c r="J26" s="14">
        <f>MIN(J22*Assumptions!$C$133,J31)</f>
        <v>34.97292561961111</v>
      </c>
      <c r="K26" s="14">
        <f>MIN(K22*Assumptions!$C$133,K31)</f>
        <v>35.47292561961111</v>
      </c>
      <c r="L26" s="14">
        <f>MIN(L22*Assumptions!$C$133,L31)</f>
        <v>35.99792561961111</v>
      </c>
      <c r="M26" s="14">
        <f>MIN(M22*Assumptions!$C$133,M31)</f>
        <v>36.549175619611106</v>
      </c>
      <c r="N26" s="14">
        <f>MIN(N22*Assumptions!$C$133,N31)</f>
        <v>37.1279881196111</v>
      </c>
      <c r="O26" s="14">
        <f>MIN(O22*Assumptions!$C$133,O31)</f>
        <v>37.735741244611106</v>
      </c>
      <c r="P26" s="14">
        <f>MIN(P22*Assumptions!$C$133,P31)</f>
        <v>38.37388202586111</v>
      </c>
      <c r="Q26" s="14">
        <f>MIN(Q22*Assumptions!$C$133,Q31)</f>
        <v>39.043929846173604</v>
      </c>
      <c r="R26" s="14">
        <f>MIN(R22*Assumptions!$C$133,R31)</f>
        <v>39.74748005750173</v>
      </c>
      <c r="S26" s="14">
        <f>MIN(S22*Assumptions!$C$133,S31)</f>
        <v>40.48620777939627</v>
      </c>
      <c r="T26" s="14">
        <f>MIN(T22*Assumptions!$C$133,T31)</f>
        <v>41.261871887385524</v>
      </c>
      <c r="U26" s="14">
        <f>MIN(U22*Assumptions!$C$133,U31)</f>
        <v>42.07631920077424</v>
      </c>
      <c r="V26" s="14">
        <f>MIN(V22*Assumptions!$C$133,V31)</f>
        <v>42.9314888798324</v>
      </c>
      <c r="W26" s="14">
        <f>MIN(W22*Assumptions!$C$133,W31)</f>
        <v>43.82941704284347</v>
      </c>
      <c r="X26" s="14">
        <f>MIN(X22*Assumptions!$C$133,X31)</f>
        <v>44.77224161400508</v>
      </c>
    </row>
    <row r="27" spans="1:24" ht="12.75" outlineLevel="1">
      <c r="A27" s="1" t="s">
        <v>87</v>
      </c>
      <c r="B27" s="1"/>
      <c r="C27" s="1"/>
      <c r="D27" s="1"/>
      <c r="E27" s="14">
        <v>0</v>
      </c>
      <c r="F27" s="14">
        <v>0</v>
      </c>
      <c r="G27" s="14">
        <v>0</v>
      </c>
      <c r="H27" s="14">
        <v>0</v>
      </c>
      <c r="I27" s="14">
        <v>0</v>
      </c>
      <c r="J27" s="14">
        <v>0</v>
      </c>
      <c r="K27" s="14">
        <v>0</v>
      </c>
      <c r="L27" s="14">
        <v>0</v>
      </c>
      <c r="M27" s="14">
        <v>0</v>
      </c>
      <c r="N27" s="14">
        <v>0</v>
      </c>
      <c r="O27" s="14">
        <v>0</v>
      </c>
      <c r="P27" s="14">
        <v>0</v>
      </c>
      <c r="Q27" s="14">
        <v>0</v>
      </c>
      <c r="R27" s="14">
        <v>0</v>
      </c>
      <c r="S27" s="14">
        <v>0</v>
      </c>
      <c r="T27" s="14">
        <v>0</v>
      </c>
      <c r="U27" s="14">
        <v>0</v>
      </c>
      <c r="V27" s="14">
        <v>0</v>
      </c>
      <c r="W27" s="14">
        <v>0</v>
      </c>
      <c r="X27" s="14">
        <v>0</v>
      </c>
    </row>
    <row r="28" spans="1:26" ht="12.75" outlineLevel="1">
      <c r="A28" s="17" t="s">
        <v>88</v>
      </c>
      <c r="B28" s="17"/>
      <c r="C28" s="17"/>
      <c r="D28" s="17"/>
      <c r="E28" s="18">
        <f aca="true" t="shared" si="4" ref="E28:X28">E25+E26-E27</f>
        <v>14.33145367912083</v>
      </c>
      <c r="F28" s="18">
        <f t="shared" si="4"/>
        <v>44.7491234663521</v>
      </c>
      <c r="G28" s="18">
        <f t="shared" si="4"/>
        <v>78.97204908596322</v>
      </c>
      <c r="H28" s="18">
        <f t="shared" si="4"/>
        <v>113.44497470557434</v>
      </c>
      <c r="I28" s="18">
        <f t="shared" si="4"/>
        <v>148.16790032518546</v>
      </c>
      <c r="J28" s="18">
        <f t="shared" si="4"/>
        <v>183.14082594479657</v>
      </c>
      <c r="K28" s="18">
        <f t="shared" si="4"/>
        <v>218.6137515644077</v>
      </c>
      <c r="L28" s="18">
        <f t="shared" si="4"/>
        <v>254.6116771840188</v>
      </c>
      <c r="M28" s="18">
        <f t="shared" si="4"/>
        <v>291.1608528036299</v>
      </c>
      <c r="N28" s="18">
        <f t="shared" si="4"/>
        <v>328.28884092324097</v>
      </c>
      <c r="O28" s="18">
        <f t="shared" si="4"/>
        <v>366.0245821678521</v>
      </c>
      <c r="P28" s="18">
        <f t="shared" si="4"/>
        <v>404.3984641937132</v>
      </c>
      <c r="Q28" s="18">
        <f t="shared" si="4"/>
        <v>443.44239403988684</v>
      </c>
      <c r="R28" s="18">
        <f t="shared" si="4"/>
        <v>483.18987409738855</v>
      </c>
      <c r="S28" s="18">
        <f t="shared" si="4"/>
        <v>523.6760818767848</v>
      </c>
      <c r="T28" s="18">
        <f t="shared" si="4"/>
        <v>564.9379537641703</v>
      </c>
      <c r="U28" s="18">
        <f t="shared" si="4"/>
        <v>607.0142729649446</v>
      </c>
      <c r="V28" s="18">
        <f t="shared" si="4"/>
        <v>649.9457618447769</v>
      </c>
      <c r="W28" s="18">
        <f t="shared" si="4"/>
        <v>693.7751788876204</v>
      </c>
      <c r="X28" s="18">
        <f t="shared" si="4"/>
        <v>738.5474205016255</v>
      </c>
      <c r="Z28" s="166"/>
    </row>
    <row r="29" spans="1:24" ht="12.75" outlineLevel="1">
      <c r="A29" s="12"/>
      <c r="B29" s="12"/>
      <c r="C29" s="1"/>
      <c r="D29" s="1"/>
      <c r="E29" s="1"/>
      <c r="F29" s="1"/>
      <c r="G29" s="1"/>
      <c r="H29" s="1"/>
      <c r="I29" s="1"/>
      <c r="J29" s="1"/>
      <c r="K29" s="1"/>
      <c r="L29" s="1"/>
      <c r="M29" s="1"/>
      <c r="N29" s="1"/>
      <c r="O29" s="1"/>
      <c r="P29" s="1"/>
      <c r="Q29" s="1"/>
      <c r="R29" s="1"/>
      <c r="S29" s="1"/>
      <c r="T29" s="1"/>
      <c r="U29" s="1"/>
      <c r="V29" s="1"/>
      <c r="W29" s="1"/>
      <c r="X29" s="1"/>
    </row>
    <row r="30" spans="1:24" ht="12.75" outlineLevel="1">
      <c r="A30" s="12" t="s">
        <v>90</v>
      </c>
      <c r="B30" s="12"/>
      <c r="C30" s="1"/>
      <c r="D30" s="1"/>
      <c r="E30" s="1"/>
      <c r="F30" s="1"/>
      <c r="G30" s="1"/>
      <c r="H30" s="1"/>
      <c r="I30" s="1"/>
      <c r="J30" s="1"/>
      <c r="K30" s="1"/>
      <c r="L30" s="1"/>
      <c r="M30" s="1"/>
      <c r="N30" s="1"/>
      <c r="O30" s="1"/>
      <c r="P30" s="1"/>
      <c r="Q30" s="1"/>
      <c r="R30" s="1"/>
      <c r="S30" s="1"/>
      <c r="T30" s="1"/>
      <c r="U30" s="1"/>
      <c r="V30" s="1"/>
      <c r="W30" s="1"/>
      <c r="X30" s="1"/>
    </row>
    <row r="31" spans="1:24" ht="12.75" outlineLevel="1">
      <c r="A31" s="53" t="s">
        <v>91</v>
      </c>
      <c r="B31" s="53"/>
      <c r="C31" s="53"/>
      <c r="D31" s="53"/>
      <c r="E31" s="53"/>
      <c r="F31" s="54">
        <f aca="true" t="shared" si="5" ref="F31:X31">E32</f>
        <v>272.29761990329575</v>
      </c>
      <c r="G31" s="54">
        <f t="shared" si="5"/>
        <v>563.6042722782732</v>
      </c>
      <c r="H31" s="54">
        <f t="shared" si="5"/>
        <v>605.4864633062589</v>
      </c>
      <c r="I31" s="54">
        <f t="shared" si="5"/>
        <v>576.0135376866479</v>
      </c>
      <c r="J31" s="54">
        <f t="shared" si="5"/>
        <v>546.2906120670367</v>
      </c>
      <c r="K31" s="54">
        <f t="shared" si="5"/>
        <v>516.3176864474256</v>
      </c>
      <c r="L31" s="54">
        <f t="shared" si="5"/>
        <v>490.8447608278144</v>
      </c>
      <c r="M31" s="54">
        <f t="shared" si="5"/>
        <v>465.34683520820334</v>
      </c>
      <c r="N31" s="54">
        <f t="shared" si="5"/>
        <v>439.8226595885922</v>
      </c>
      <c r="O31" s="54">
        <f t="shared" si="5"/>
        <v>414.2709214689811</v>
      </c>
      <c r="P31" s="54">
        <f t="shared" si="5"/>
        <v>388.69024272436997</v>
      </c>
      <c r="Q31" s="54">
        <f t="shared" si="5"/>
        <v>363.0791763235089</v>
      </c>
      <c r="R31" s="54">
        <f t="shared" si="5"/>
        <v>337.4362028835852</v>
      </c>
      <c r="S31" s="54">
        <f t="shared" si="5"/>
        <v>311.75972705264604</v>
      </c>
      <c r="T31" s="54">
        <f t="shared" si="5"/>
        <v>286.04807371114043</v>
      </c>
      <c r="U31" s="54">
        <f t="shared" si="5"/>
        <v>260.2994839835401</v>
      </c>
      <c r="V31" s="54">
        <f t="shared" si="5"/>
        <v>234.51211105054028</v>
      </c>
      <c r="W31" s="54">
        <f t="shared" si="5"/>
        <v>208.68401575187102</v>
      </c>
      <c r="X31" s="54">
        <f t="shared" si="5"/>
        <v>182.81316196924888</v>
      </c>
    </row>
    <row r="32" spans="1:24" ht="12.75" outlineLevel="1">
      <c r="A32" s="53" t="s">
        <v>92</v>
      </c>
      <c r="B32" s="53"/>
      <c r="C32" s="53"/>
      <c r="D32" s="53"/>
      <c r="E32" s="54">
        <f aca="true" t="shared" si="6" ref="E32:X32">E22-E28</f>
        <v>272.29761990329575</v>
      </c>
      <c r="F32" s="54">
        <f t="shared" si="6"/>
        <v>563.6042722782732</v>
      </c>
      <c r="G32" s="54">
        <f t="shared" si="6"/>
        <v>605.4864633062589</v>
      </c>
      <c r="H32" s="54">
        <f t="shared" si="6"/>
        <v>576.0135376866479</v>
      </c>
      <c r="I32" s="54">
        <f t="shared" si="6"/>
        <v>546.2906120670367</v>
      </c>
      <c r="J32" s="54">
        <f t="shared" si="6"/>
        <v>516.3176864474256</v>
      </c>
      <c r="K32" s="54">
        <f t="shared" si="6"/>
        <v>490.8447608278144</v>
      </c>
      <c r="L32" s="54">
        <f t="shared" si="6"/>
        <v>465.34683520820334</v>
      </c>
      <c r="M32" s="54">
        <f t="shared" si="6"/>
        <v>439.8226595885922</v>
      </c>
      <c r="N32" s="54">
        <f t="shared" si="6"/>
        <v>414.2709214689811</v>
      </c>
      <c r="O32" s="54">
        <f t="shared" si="6"/>
        <v>388.69024272436997</v>
      </c>
      <c r="P32" s="54">
        <f t="shared" si="6"/>
        <v>363.0791763235089</v>
      </c>
      <c r="Q32" s="54">
        <f t="shared" si="6"/>
        <v>337.4362028835852</v>
      </c>
      <c r="R32" s="54">
        <f t="shared" si="6"/>
        <v>311.75972705264604</v>
      </c>
      <c r="S32" s="54">
        <f t="shared" si="6"/>
        <v>286.04807371114043</v>
      </c>
      <c r="T32" s="54">
        <f t="shared" si="6"/>
        <v>260.2994839835401</v>
      </c>
      <c r="U32" s="54">
        <f t="shared" si="6"/>
        <v>234.51211105054028</v>
      </c>
      <c r="V32" s="54">
        <f t="shared" si="6"/>
        <v>208.68401575187102</v>
      </c>
      <c r="W32" s="54">
        <f t="shared" si="6"/>
        <v>182.81316196924888</v>
      </c>
      <c r="X32" s="54">
        <f t="shared" si="6"/>
        <v>156.8974117784761</v>
      </c>
    </row>
    <row r="33" spans="1:24" ht="12.75">
      <c r="A33" s="1"/>
      <c r="B33" s="1"/>
      <c r="C33" s="1"/>
      <c r="D33" s="1"/>
      <c r="E33" s="1"/>
      <c r="F33" s="1"/>
      <c r="G33" s="1"/>
      <c r="H33" s="1"/>
      <c r="I33" s="1"/>
      <c r="J33" s="1"/>
      <c r="K33" s="1"/>
      <c r="L33" s="1"/>
      <c r="M33" s="1"/>
      <c r="N33" s="1"/>
      <c r="O33" s="1"/>
      <c r="P33" s="1"/>
      <c r="Q33" s="1"/>
      <c r="R33" s="1"/>
      <c r="S33" s="1"/>
      <c r="T33" s="1"/>
      <c r="U33" s="1"/>
      <c r="V33" s="1"/>
      <c r="W33" s="1"/>
      <c r="X33" s="1"/>
    </row>
    <row r="34" spans="1:24" ht="12.75">
      <c r="A34" s="12" t="s">
        <v>93</v>
      </c>
      <c r="B34" s="12"/>
      <c r="C34" s="1"/>
      <c r="D34" s="1"/>
      <c r="E34" s="1"/>
      <c r="F34" s="1"/>
      <c r="G34" s="1"/>
      <c r="H34" s="1"/>
      <c r="I34" s="1"/>
      <c r="J34" s="1"/>
      <c r="K34" s="1"/>
      <c r="L34" s="1"/>
      <c r="M34" s="1"/>
      <c r="N34" s="1"/>
      <c r="O34" s="1"/>
      <c r="P34" s="1"/>
      <c r="Q34" s="1"/>
      <c r="R34" s="1"/>
      <c r="S34" s="1"/>
      <c r="T34" s="1"/>
      <c r="U34" s="1"/>
      <c r="V34" s="1"/>
      <c r="W34" s="1"/>
      <c r="X34" s="1"/>
    </row>
    <row r="35" spans="1:24" ht="12.75" outlineLevel="1">
      <c r="A35" s="12" t="s">
        <v>9</v>
      </c>
      <c r="B35" s="12"/>
      <c r="C35" s="22">
        <f>Assumptions!C130</f>
        <v>0.15</v>
      </c>
      <c r="D35" s="1"/>
      <c r="E35" s="1"/>
      <c r="F35" s="1"/>
      <c r="G35" s="1"/>
      <c r="H35" s="1"/>
      <c r="I35" s="1"/>
      <c r="J35" s="1"/>
      <c r="K35" s="1"/>
      <c r="L35" s="1"/>
      <c r="M35" s="1"/>
      <c r="N35" s="1"/>
      <c r="O35" s="1"/>
      <c r="P35" s="1"/>
      <c r="Q35" s="1"/>
      <c r="R35" s="1"/>
      <c r="S35" s="1"/>
      <c r="T35" s="1"/>
      <c r="U35" s="1"/>
      <c r="V35" s="1"/>
      <c r="W35" s="1"/>
      <c r="X35" s="1"/>
    </row>
    <row r="36" spans="1:24" ht="12.75" outlineLevel="1">
      <c r="A36" s="1" t="s">
        <v>91</v>
      </c>
      <c r="B36" s="1"/>
      <c r="C36" s="25"/>
      <c r="D36" s="1"/>
      <c r="E36" s="14">
        <f>D39</f>
        <v>26.474511003724242</v>
      </c>
      <c r="F36" s="14">
        <f aca="true" t="shared" si="7" ref="F36:X36">E39</f>
        <v>22.503334353165606</v>
      </c>
      <c r="G36" s="14">
        <f t="shared" si="7"/>
        <v>44.386507023134584</v>
      </c>
      <c r="H36" s="14">
        <f t="shared" si="7"/>
        <v>43.70356645543168</v>
      </c>
      <c r="I36" s="14">
        <f t="shared" si="7"/>
        <v>37.54058298358427</v>
      </c>
      <c r="J36" s="14">
        <f t="shared" si="7"/>
        <v>32.30204703251398</v>
      </c>
      <c r="K36" s="14">
        <f t="shared" si="7"/>
        <v>27.849291474104234</v>
      </c>
      <c r="L36" s="14">
        <f t="shared" si="7"/>
        <v>24.4570007459233</v>
      </c>
      <c r="M36" s="14">
        <f t="shared" si="7"/>
        <v>21.61280877661624</v>
      </c>
      <c r="N36" s="14">
        <f t="shared" si="7"/>
        <v>19.236463509834312</v>
      </c>
      <c r="O36" s="14">
        <f t="shared" si="7"/>
        <v>17.2598488355552</v>
      </c>
      <c r="P36" s="14">
        <f t="shared" si="7"/>
        <v>15.625169105027755</v>
      </c>
      <c r="Q36" s="14">
        <f t="shared" si="7"/>
        <v>14.283406213819719</v>
      </c>
      <c r="R36" s="14">
        <f t="shared" si="7"/>
        <v>13.193008380020194</v>
      </c>
      <c r="S36" s="14">
        <f t="shared" si="7"/>
        <v>12.31877587620427</v>
      </c>
      <c r="T36" s="14">
        <f t="shared" si="7"/>
        <v>11.63091418562009</v>
      </c>
      <c r="U36" s="14">
        <f t="shared" si="7"/>
        <v>11.104229483165861</v>
      </c>
      <c r="V36" s="14">
        <f t="shared" si="7"/>
        <v>10.717445107349205</v>
      </c>
      <c r="W36" s="14">
        <f t="shared" si="7"/>
        <v>10.452620890237958</v>
      </c>
      <c r="X36" s="14">
        <f t="shared" si="7"/>
        <v>10.294659933142956</v>
      </c>
    </row>
    <row r="37" spans="1:24" ht="12.75" outlineLevel="1">
      <c r="A37" s="1" t="s">
        <v>86</v>
      </c>
      <c r="B37" s="1"/>
      <c r="C37" s="25"/>
      <c r="D37" s="1"/>
      <c r="E37" s="1">
        <v>0</v>
      </c>
      <c r="F37" s="14">
        <f>'CoP &amp; MoF'!$C$9*('CoP &amp; MoF'!F14-'CoP &amp; MoF'!F13)</f>
        <v>29.716085674051556</v>
      </c>
      <c r="G37" s="14">
        <f>'CoP &amp; MoF'!$C$9*('CoP &amp; MoF'!G14-'CoP &amp; MoF'!G13)</f>
        <v>7.029453512667386</v>
      </c>
      <c r="H37" s="14">
        <f>'CoP &amp; MoF'!$C$9*('CoP &amp; MoF'!H14-'CoP &amp; MoF'!H13)</f>
        <v>0.4618252899615891</v>
      </c>
      <c r="I37" s="14">
        <f>'CoP &amp; MoF'!$C$9*('CoP &amp; MoF'!I14-'CoP &amp; MoF'!I13)</f>
        <v>0.4618252899615891</v>
      </c>
      <c r="J37" s="14">
        <f>'CoP &amp; MoF'!$C$9*('CoP &amp; MoF'!J14-'CoP &amp; MoF'!J13)</f>
        <v>0.4618252899615891</v>
      </c>
      <c r="K37" s="14">
        <f>'CoP &amp; MoF'!$C$9*('CoP &amp; MoF'!K14-'CoP &amp; MoF'!K13)</f>
        <v>0.9236505799231782</v>
      </c>
      <c r="L37" s="14">
        <f>'CoP &amp; MoF'!$C$9*('CoP &amp; MoF'!L14-'CoP &amp; MoF'!L13)</f>
        <v>0.9698331089193372</v>
      </c>
      <c r="M37" s="14">
        <f>'CoP &amp; MoF'!$C$9*('CoP &amp; MoF'!M14-'CoP &amp; MoF'!M13)</f>
        <v>1.0183247643653042</v>
      </c>
      <c r="N37" s="14">
        <f>'CoP &amp; MoF'!$C$9*('CoP &amp; MoF'!N14-'CoP &amp; MoF'!N13)</f>
        <v>1.0692410025835695</v>
      </c>
      <c r="O37" s="14">
        <f>'CoP &amp; MoF'!$C$9*('CoP &amp; MoF'!O14-'CoP &amp; MoF'!O13)</f>
        <v>1.1227030527127477</v>
      </c>
      <c r="P37" s="14">
        <f>'CoP &amp; MoF'!$C$9*('CoP &amp; MoF'!P14-'CoP &amp; MoF'!P13)</f>
        <v>1.1788382053483852</v>
      </c>
      <c r="Q37" s="14">
        <f>'CoP &amp; MoF'!$C$9*('CoP &amp; MoF'!Q14-'CoP &amp; MoF'!Q13)</f>
        <v>1.2377801156158046</v>
      </c>
      <c r="R37" s="14">
        <f>'CoP &amp; MoF'!$C$9*('CoP &amp; MoF'!R14-'CoP &amp; MoF'!R13)</f>
        <v>1.299669121396595</v>
      </c>
      <c r="S37" s="14">
        <f>'CoP &amp; MoF'!$C$9*('CoP &amp; MoF'!S14-'CoP &amp; MoF'!S13)</f>
        <v>1.3646525774664249</v>
      </c>
      <c r="T37" s="14">
        <f>'CoP &amp; MoF'!$C$9*('CoP &amp; MoF'!T14-'CoP &amp; MoF'!T13)</f>
        <v>1.4328852063397461</v>
      </c>
      <c r="U37" s="14">
        <f>'CoP &amp; MoF'!$C$9*('CoP &amp; MoF'!U14-'CoP &amp; MoF'!U13)</f>
        <v>1.5045294666567333</v>
      </c>
      <c r="V37" s="14">
        <f>'CoP &amp; MoF'!$C$9*('CoP &amp; MoF'!V14-'CoP &amp; MoF'!V13)</f>
        <v>1.5797559399895702</v>
      </c>
      <c r="W37" s="14">
        <f>'CoP &amp; MoF'!$C$9*('CoP &amp; MoF'!W14-'CoP &amp; MoF'!W13)</f>
        <v>1.6587437369890488</v>
      </c>
      <c r="X37" s="14">
        <f>'CoP &amp; MoF'!$C$9*('CoP &amp; MoF'!X14-'CoP &amp; MoF'!X13)</f>
        <v>1.7416809238385011</v>
      </c>
    </row>
    <row r="38" spans="1:24" ht="12.75" outlineLevel="1">
      <c r="A38" s="1" t="s">
        <v>29</v>
      </c>
      <c r="B38" s="1"/>
      <c r="C38" s="25"/>
      <c r="D38" s="1"/>
      <c r="E38" s="14">
        <f>((E36+E37)*$C$35)</f>
        <v>3.971176650558636</v>
      </c>
      <c r="F38" s="14">
        <f>((F36+F37)*$C$35)</f>
        <v>7.832913004082574</v>
      </c>
      <c r="G38" s="14">
        <f aca="true" t="shared" si="8" ref="G38:X38">((G36+G37)*$C$35)</f>
        <v>7.712394080370295</v>
      </c>
      <c r="H38" s="14">
        <f t="shared" si="8"/>
        <v>6.62480876180899</v>
      </c>
      <c r="I38" s="14">
        <f t="shared" si="8"/>
        <v>5.700361241031879</v>
      </c>
      <c r="J38" s="14">
        <f t="shared" si="8"/>
        <v>4.914580848371336</v>
      </c>
      <c r="K38" s="14">
        <f t="shared" si="8"/>
        <v>4.315941308104112</v>
      </c>
      <c r="L38" s="14">
        <f t="shared" si="8"/>
        <v>3.8140250782263956</v>
      </c>
      <c r="M38" s="14">
        <f t="shared" si="8"/>
        <v>3.3946700311472315</v>
      </c>
      <c r="N38" s="14">
        <f t="shared" si="8"/>
        <v>3.0458556768626823</v>
      </c>
      <c r="O38" s="14">
        <f t="shared" si="8"/>
        <v>2.757382783240192</v>
      </c>
      <c r="P38" s="14">
        <f t="shared" si="8"/>
        <v>2.5206010965564207</v>
      </c>
      <c r="Q38" s="14">
        <f t="shared" si="8"/>
        <v>2.3281779494153283</v>
      </c>
      <c r="R38" s="14">
        <f t="shared" si="8"/>
        <v>2.1739016252125185</v>
      </c>
      <c r="S38" s="14">
        <f t="shared" si="8"/>
        <v>2.0525142680506043</v>
      </c>
      <c r="T38" s="14">
        <f t="shared" si="8"/>
        <v>1.9595699087939753</v>
      </c>
      <c r="U38" s="14">
        <f t="shared" si="8"/>
        <v>1.891313842473389</v>
      </c>
      <c r="V38" s="14">
        <f t="shared" si="8"/>
        <v>1.844580157100816</v>
      </c>
      <c r="W38" s="14">
        <f t="shared" si="8"/>
        <v>1.8167046940840508</v>
      </c>
      <c r="X38" s="14">
        <f t="shared" si="8"/>
        <v>1.8054511285472186</v>
      </c>
    </row>
    <row r="39" spans="1:24" ht="12.75" outlineLevel="1">
      <c r="A39" s="33" t="s">
        <v>92</v>
      </c>
      <c r="B39" s="33"/>
      <c r="C39" s="55"/>
      <c r="D39" s="34">
        <f>'CoP &amp; MoF'!C9*('CoP &amp; MoF'!E14-'CoP &amp; MoF'!E13)</f>
        <v>26.474511003724242</v>
      </c>
      <c r="E39" s="34">
        <f aca="true" t="shared" si="9" ref="E39:X39">E36+E37-E38</f>
        <v>22.503334353165606</v>
      </c>
      <c r="F39" s="34">
        <f t="shared" si="9"/>
        <v>44.386507023134584</v>
      </c>
      <c r="G39" s="34">
        <f t="shared" si="9"/>
        <v>43.70356645543168</v>
      </c>
      <c r="H39" s="34">
        <f t="shared" si="9"/>
        <v>37.54058298358427</v>
      </c>
      <c r="I39" s="34">
        <f t="shared" si="9"/>
        <v>32.30204703251398</v>
      </c>
      <c r="J39" s="34">
        <f t="shared" si="9"/>
        <v>27.849291474104234</v>
      </c>
      <c r="K39" s="34">
        <f t="shared" si="9"/>
        <v>24.4570007459233</v>
      </c>
      <c r="L39" s="34">
        <f t="shared" si="9"/>
        <v>21.61280877661624</v>
      </c>
      <c r="M39" s="34">
        <f t="shared" si="9"/>
        <v>19.236463509834312</v>
      </c>
      <c r="N39" s="34">
        <f t="shared" si="9"/>
        <v>17.2598488355552</v>
      </c>
      <c r="O39" s="34">
        <f t="shared" si="9"/>
        <v>15.625169105027755</v>
      </c>
      <c r="P39" s="34">
        <f t="shared" si="9"/>
        <v>14.283406213819719</v>
      </c>
      <c r="Q39" s="34">
        <f t="shared" si="9"/>
        <v>13.193008380020194</v>
      </c>
      <c r="R39" s="34">
        <f t="shared" si="9"/>
        <v>12.31877587620427</v>
      </c>
      <c r="S39" s="34">
        <f t="shared" si="9"/>
        <v>11.63091418562009</v>
      </c>
      <c r="T39" s="34">
        <f t="shared" si="9"/>
        <v>11.104229483165861</v>
      </c>
      <c r="U39" s="34">
        <f t="shared" si="9"/>
        <v>10.717445107349205</v>
      </c>
      <c r="V39" s="34">
        <f t="shared" si="9"/>
        <v>10.452620890237958</v>
      </c>
      <c r="W39" s="34">
        <f t="shared" si="9"/>
        <v>10.294659933142956</v>
      </c>
      <c r="X39" s="34">
        <f t="shared" si="9"/>
        <v>10.230889728434239</v>
      </c>
    </row>
    <row r="40" spans="1:24" ht="12.75" outlineLevel="1">
      <c r="A40" s="1"/>
      <c r="B40" s="1"/>
      <c r="C40" s="25"/>
      <c r="D40" s="1"/>
      <c r="E40" s="1"/>
      <c r="F40" s="1"/>
      <c r="G40" s="1"/>
      <c r="H40" s="1"/>
      <c r="I40" s="1"/>
      <c r="J40" s="1"/>
      <c r="K40" s="1"/>
      <c r="L40" s="1"/>
      <c r="M40" s="1"/>
      <c r="N40" s="1"/>
      <c r="O40" s="1"/>
      <c r="P40" s="1"/>
      <c r="Q40" s="1"/>
      <c r="R40" s="1"/>
      <c r="S40" s="1"/>
      <c r="T40" s="1"/>
      <c r="U40" s="1"/>
      <c r="V40" s="1"/>
      <c r="W40" s="1"/>
      <c r="X40" s="1"/>
    </row>
    <row r="41" spans="1:24" ht="12.75" outlineLevel="1">
      <c r="A41" s="1"/>
      <c r="B41" s="1"/>
      <c r="C41" s="25"/>
      <c r="D41" s="1"/>
      <c r="E41" s="1"/>
      <c r="F41" s="1"/>
      <c r="G41" s="1"/>
      <c r="H41" s="1"/>
      <c r="I41" s="1"/>
      <c r="J41" s="1"/>
      <c r="K41" s="1"/>
      <c r="L41" s="1"/>
      <c r="M41" s="1"/>
      <c r="N41" s="1"/>
      <c r="O41" s="1"/>
      <c r="P41" s="1"/>
      <c r="Q41" s="1"/>
      <c r="R41" s="1"/>
      <c r="S41" s="1"/>
      <c r="T41" s="1"/>
      <c r="U41" s="1"/>
      <c r="V41" s="1"/>
      <c r="W41" s="1"/>
      <c r="X41" s="1"/>
    </row>
    <row r="42" spans="1:24" ht="12.75" outlineLevel="1">
      <c r="A42" s="12" t="s">
        <v>3</v>
      </c>
      <c r="B42" s="12"/>
      <c r="C42" s="22">
        <f>Assumptions!C131</f>
        <v>0.1</v>
      </c>
      <c r="D42" s="1"/>
      <c r="E42" s="1"/>
      <c r="F42" s="14"/>
      <c r="G42" s="14"/>
      <c r="H42" s="14"/>
      <c r="I42" s="14"/>
      <c r="J42" s="14"/>
      <c r="K42" s="14"/>
      <c r="L42" s="14"/>
      <c r="M42" s="14"/>
      <c r="N42" s="14"/>
      <c r="O42" s="14"/>
      <c r="P42" s="14"/>
      <c r="Q42" s="14"/>
      <c r="R42" s="14"/>
      <c r="S42" s="14"/>
      <c r="T42" s="14"/>
      <c r="U42" s="14"/>
      <c r="V42" s="14"/>
      <c r="W42" s="14"/>
      <c r="X42" s="14"/>
    </row>
    <row r="43" spans="1:24" ht="12.75" outlineLevel="1">
      <c r="A43" s="1" t="s">
        <v>91</v>
      </c>
      <c r="B43" s="1"/>
      <c r="C43" s="1"/>
      <c r="D43" s="1"/>
      <c r="E43" s="14">
        <f>D46</f>
        <v>260.1545625786924</v>
      </c>
      <c r="F43" s="14">
        <f aca="true" t="shared" si="10" ref="F43:X43">E46</f>
        <v>234.13910632082315</v>
      </c>
      <c r="G43" s="14">
        <f t="shared" si="10"/>
        <v>473.5326085280823</v>
      </c>
      <c r="H43" s="14">
        <f t="shared" si="10"/>
        <v>488.3474444967105</v>
      </c>
      <c r="I43" s="14">
        <f t="shared" si="10"/>
        <v>443.597057286074</v>
      </c>
      <c r="J43" s="14">
        <f t="shared" si="10"/>
        <v>403.3217087965012</v>
      </c>
      <c r="K43" s="14">
        <f t="shared" si="10"/>
        <v>367.0738951558856</v>
      </c>
      <c r="L43" s="14">
        <f t="shared" si="10"/>
        <v>338.5352201183662</v>
      </c>
      <c r="M43" s="14">
        <f t="shared" si="10"/>
        <v>313.2588483085022</v>
      </c>
      <c r="N43" s="14">
        <f t="shared" si="10"/>
        <v>290.9389711897232</v>
      </c>
      <c r="O43" s="14">
        <f t="shared" si="10"/>
        <v>271.3013821684257</v>
      </c>
      <c r="P43" s="14">
        <f t="shared" si="10"/>
        <v>254.10036745414163</v>
      </c>
      <c r="Q43" s="14">
        <f t="shared" si="10"/>
        <v>239.1159103864139</v>
      </c>
      <c r="R43" s="14">
        <f t="shared" si="10"/>
        <v>226.15117800934328</v>
      </c>
      <c r="S43" s="14">
        <f t="shared" si="10"/>
        <v>215.0302618030583</v>
      </c>
      <c r="T43" s="14">
        <f t="shared" si="10"/>
        <v>205.59614729713425</v>
      </c>
      <c r="U43" s="14">
        <f t="shared" si="10"/>
        <v>197.7088898255217</v>
      </c>
      <c r="V43" s="14">
        <f t="shared" si="10"/>
        <v>191.24397596397546</v>
      </c>
      <c r="W43" s="14">
        <f t="shared" si="10"/>
        <v>186.0908522446341</v>
      </c>
      <c r="X43" s="14">
        <f t="shared" si="10"/>
        <v>182.15160459107972</v>
      </c>
    </row>
    <row r="44" spans="1:24" ht="12.75" outlineLevel="1">
      <c r="A44" s="1" t="s">
        <v>86</v>
      </c>
      <c r="B44" s="1"/>
      <c r="C44" s="1"/>
      <c r="D44" s="1"/>
      <c r="E44" s="14">
        <v>0</v>
      </c>
      <c r="F44" s="14">
        <f>'CoP &amp; MoF'!$C$8*('CoP &amp; MoF'!F14-'CoP &amp; MoF'!F13)</f>
        <v>292.0082364881572</v>
      </c>
      <c r="G44" s="14">
        <f>'CoP &amp; MoF'!$C$8*('CoP &amp; MoF'!G14-'CoP &amp; MoF'!G13)</f>
        <v>69.07566313492936</v>
      </c>
      <c r="H44" s="14">
        <f>'CoP &amp; MoF'!$C$8*('CoP &amp; MoF'!H14-'CoP &amp; MoF'!H13)</f>
        <v>4.538174710038411</v>
      </c>
      <c r="I44" s="14">
        <f>'CoP &amp; MoF'!$C$8*('CoP &amp; MoF'!I14-'CoP &amp; MoF'!I13)</f>
        <v>4.538174710038411</v>
      </c>
      <c r="J44" s="14">
        <f>'CoP &amp; MoF'!$C$8*('CoP &amp; MoF'!J14-'CoP &amp; MoF'!J13)</f>
        <v>4.538174710038411</v>
      </c>
      <c r="K44" s="14">
        <f>'CoP &amp; MoF'!$C$8*('CoP &amp; MoF'!K14-'CoP &amp; MoF'!K13)</f>
        <v>9.076349420076822</v>
      </c>
      <c r="L44" s="14">
        <f>'CoP &amp; MoF'!$C$8*('CoP &amp; MoF'!L14-'CoP &amp; MoF'!L13)</f>
        <v>9.530166891080663</v>
      </c>
      <c r="M44" s="14">
        <f>'CoP &amp; MoF'!$C$8*('CoP &amp; MoF'!M14-'CoP &amp; MoF'!M13)</f>
        <v>10.006675235634697</v>
      </c>
      <c r="N44" s="14">
        <f>'CoP &amp; MoF'!$C$8*('CoP &amp; MoF'!N14-'CoP &amp; MoF'!N13)</f>
        <v>10.507008997416433</v>
      </c>
      <c r="O44" s="14">
        <f>'CoP &amp; MoF'!$C$8*('CoP &amp; MoF'!O14-'CoP &amp; MoF'!O13)</f>
        <v>11.032359447287254</v>
      </c>
      <c r="P44" s="14">
        <f>'CoP &amp; MoF'!$C$8*('CoP &amp; MoF'!P14-'CoP &amp; MoF'!P13)</f>
        <v>11.583977419651617</v>
      </c>
      <c r="Q44" s="14">
        <f>'CoP &amp; MoF'!$C$8*('CoP &amp; MoF'!Q14-'CoP &amp; MoF'!Q13)</f>
        <v>12.1631762906342</v>
      </c>
      <c r="R44" s="14">
        <f>'CoP &amp; MoF'!$C$8*('CoP &amp; MoF'!R14-'CoP &amp; MoF'!R13)</f>
        <v>12.77133510516591</v>
      </c>
      <c r="S44" s="14">
        <f>'CoP &amp; MoF'!$C$8*('CoP &amp; MoF'!S14-'CoP &amp; MoF'!S13)</f>
        <v>13.409901860424206</v>
      </c>
      <c r="T44" s="14">
        <f>'CoP &amp; MoF'!$C$8*('CoP &amp; MoF'!T14-'CoP &amp; MoF'!T13)</f>
        <v>14.080396953445417</v>
      </c>
      <c r="U44" s="14">
        <f>'CoP &amp; MoF'!$C$8*('CoP &amp; MoF'!U14-'CoP &amp; MoF'!U13)</f>
        <v>14.784416801117688</v>
      </c>
      <c r="V44" s="14">
        <f>'CoP &amp; MoF'!$C$8*('CoP &amp; MoF'!V14-'CoP &amp; MoF'!V13)</f>
        <v>15.523637641173574</v>
      </c>
      <c r="W44" s="14">
        <f>'CoP &amp; MoF'!$C$8*('CoP &amp; MoF'!W14-'CoP &amp; MoF'!W13)</f>
        <v>16.29981952323225</v>
      </c>
      <c r="X44" s="14">
        <f>'CoP &amp; MoF'!$C$8*('CoP &amp; MoF'!X14-'CoP &amp; MoF'!X13)</f>
        <v>17.114810499393865</v>
      </c>
    </row>
    <row r="45" spans="1:24" ht="12.75" outlineLevel="1">
      <c r="A45" s="1" t="s">
        <v>29</v>
      </c>
      <c r="B45" s="1"/>
      <c r="C45" s="1"/>
      <c r="D45" s="1"/>
      <c r="E45" s="14">
        <f>(E43+E44)*$C$42</f>
        <v>26.01545625786924</v>
      </c>
      <c r="F45" s="14">
        <f aca="true" t="shared" si="11" ref="F45:X45">(F43+F44)*$C$42</f>
        <v>52.614734280898034</v>
      </c>
      <c r="G45" s="14">
        <f t="shared" si="11"/>
        <v>54.26082716630117</v>
      </c>
      <c r="H45" s="14">
        <f t="shared" si="11"/>
        <v>49.288561920674894</v>
      </c>
      <c r="I45" s="14">
        <f t="shared" si="11"/>
        <v>44.81352319961124</v>
      </c>
      <c r="J45" s="14">
        <f t="shared" si="11"/>
        <v>40.78598835065396</v>
      </c>
      <c r="K45" s="14">
        <f t="shared" si="11"/>
        <v>37.61502445759625</v>
      </c>
      <c r="L45" s="14">
        <f t="shared" si="11"/>
        <v>34.80653870094469</v>
      </c>
      <c r="M45" s="14">
        <f t="shared" si="11"/>
        <v>32.32655235441369</v>
      </c>
      <c r="N45" s="14">
        <f t="shared" si="11"/>
        <v>30.144598018713964</v>
      </c>
      <c r="O45" s="14">
        <f t="shared" si="11"/>
        <v>28.233374161571295</v>
      </c>
      <c r="P45" s="14">
        <f t="shared" si="11"/>
        <v>26.568434487379324</v>
      </c>
      <c r="Q45" s="14">
        <f t="shared" si="11"/>
        <v>25.127908667704812</v>
      </c>
      <c r="R45" s="14">
        <f t="shared" si="11"/>
        <v>23.89225131145092</v>
      </c>
      <c r="S45" s="14">
        <f t="shared" si="11"/>
        <v>22.844016366348253</v>
      </c>
      <c r="T45" s="14">
        <f t="shared" si="11"/>
        <v>21.96765442505797</v>
      </c>
      <c r="U45" s="14">
        <f t="shared" si="11"/>
        <v>21.24933066266394</v>
      </c>
      <c r="V45" s="14">
        <f t="shared" si="11"/>
        <v>20.676761360514902</v>
      </c>
      <c r="W45" s="14">
        <f t="shared" si="11"/>
        <v>20.239067176786637</v>
      </c>
      <c r="X45" s="14">
        <f t="shared" si="11"/>
        <v>19.926641509047357</v>
      </c>
    </row>
    <row r="46" spans="1:24" ht="12.75" outlineLevel="1">
      <c r="A46" s="33" t="s">
        <v>92</v>
      </c>
      <c r="B46" s="33"/>
      <c r="C46" s="33"/>
      <c r="D46" s="34">
        <f>'CoP &amp; MoF'!$C$8*('CoP &amp; MoF'!$E$14-'CoP &amp; MoF'!E13)</f>
        <v>260.1545625786924</v>
      </c>
      <c r="E46" s="34">
        <f>E43+E44-E45</f>
        <v>234.13910632082315</v>
      </c>
      <c r="F46" s="34">
        <f aca="true" t="shared" si="12" ref="F46:X46">F43+F44-F45</f>
        <v>473.5326085280823</v>
      </c>
      <c r="G46" s="34">
        <f t="shared" si="12"/>
        <v>488.3474444967105</v>
      </c>
      <c r="H46" s="34">
        <f t="shared" si="12"/>
        <v>443.597057286074</v>
      </c>
      <c r="I46" s="34">
        <f t="shared" si="12"/>
        <v>403.3217087965012</v>
      </c>
      <c r="J46" s="34">
        <f t="shared" si="12"/>
        <v>367.0738951558856</v>
      </c>
      <c r="K46" s="34">
        <f t="shared" si="12"/>
        <v>338.5352201183662</v>
      </c>
      <c r="L46" s="34">
        <f t="shared" si="12"/>
        <v>313.2588483085022</v>
      </c>
      <c r="M46" s="34">
        <f t="shared" si="12"/>
        <v>290.9389711897232</v>
      </c>
      <c r="N46" s="34">
        <f t="shared" si="12"/>
        <v>271.3013821684257</v>
      </c>
      <c r="O46" s="34">
        <f t="shared" si="12"/>
        <v>254.10036745414163</v>
      </c>
      <c r="P46" s="34">
        <f t="shared" si="12"/>
        <v>239.1159103864139</v>
      </c>
      <c r="Q46" s="34">
        <f t="shared" si="12"/>
        <v>226.15117800934328</v>
      </c>
      <c r="R46" s="34">
        <f t="shared" si="12"/>
        <v>215.0302618030583</v>
      </c>
      <c r="S46" s="34">
        <f t="shared" si="12"/>
        <v>205.59614729713425</v>
      </c>
      <c r="T46" s="34">
        <f t="shared" si="12"/>
        <v>197.7088898255217</v>
      </c>
      <c r="U46" s="34">
        <f t="shared" si="12"/>
        <v>191.24397596397546</v>
      </c>
      <c r="V46" s="34">
        <f t="shared" si="12"/>
        <v>186.0908522446341</v>
      </c>
      <c r="W46" s="34">
        <f t="shared" si="12"/>
        <v>182.15160459107972</v>
      </c>
      <c r="X46" s="34">
        <f t="shared" si="12"/>
        <v>179.33977358142621</v>
      </c>
    </row>
    <row r="47" spans="1:24" ht="12.75" outlineLevel="1">
      <c r="A47" s="6"/>
      <c r="B47" s="6"/>
      <c r="C47" s="1"/>
      <c r="D47" s="1"/>
      <c r="E47" s="1"/>
      <c r="F47" s="1"/>
      <c r="G47" s="1"/>
      <c r="H47" s="1"/>
      <c r="I47" s="1"/>
      <c r="J47" s="1"/>
      <c r="K47" s="1"/>
      <c r="L47" s="1"/>
      <c r="M47" s="1"/>
      <c r="N47" s="1"/>
      <c r="O47" s="1"/>
      <c r="P47" s="1"/>
      <c r="Q47" s="1"/>
      <c r="R47" s="1"/>
      <c r="S47" s="1"/>
      <c r="T47" s="1"/>
      <c r="U47" s="1"/>
      <c r="V47" s="1"/>
      <c r="W47" s="1"/>
      <c r="X47" s="1"/>
    </row>
    <row r="48" spans="1:24" ht="12.75" outlineLevel="1">
      <c r="A48" s="1"/>
      <c r="B48" s="1"/>
      <c r="C48" s="1"/>
      <c r="D48" s="1"/>
      <c r="E48" s="1"/>
      <c r="F48" s="1"/>
      <c r="G48" s="1"/>
      <c r="H48" s="1"/>
      <c r="I48" s="1"/>
      <c r="J48" s="1"/>
      <c r="K48" s="1"/>
      <c r="L48" s="1"/>
      <c r="M48" s="1"/>
      <c r="N48" s="1"/>
      <c r="O48" s="1"/>
      <c r="P48" s="1"/>
      <c r="Q48" s="1"/>
      <c r="R48" s="1"/>
      <c r="S48" s="1"/>
      <c r="T48" s="1"/>
      <c r="U48" s="1"/>
      <c r="V48" s="1"/>
      <c r="W48" s="1"/>
      <c r="X48" s="1"/>
    </row>
    <row r="49" spans="1:24" ht="12.75" outlineLevel="1">
      <c r="A49" s="12" t="s">
        <v>94</v>
      </c>
      <c r="B49" s="12"/>
      <c r="C49" s="1"/>
      <c r="D49" s="1"/>
      <c r="E49" s="1"/>
      <c r="F49" s="1"/>
      <c r="G49" s="1"/>
      <c r="H49" s="1"/>
      <c r="I49" s="1"/>
      <c r="J49" s="1"/>
      <c r="K49" s="1"/>
      <c r="L49" s="1"/>
      <c r="M49" s="1"/>
      <c r="N49" s="1"/>
      <c r="O49" s="1"/>
      <c r="P49" s="1"/>
      <c r="Q49" s="1"/>
      <c r="R49" s="1"/>
      <c r="S49" s="1"/>
      <c r="T49" s="1"/>
      <c r="U49" s="1"/>
      <c r="V49" s="1"/>
      <c r="W49" s="1"/>
      <c r="X49" s="1"/>
    </row>
    <row r="50" spans="1:24" ht="12.75" outlineLevel="1">
      <c r="A50" s="1" t="s">
        <v>91</v>
      </c>
      <c r="B50" s="1"/>
      <c r="C50" s="1"/>
      <c r="D50" s="1"/>
      <c r="E50" s="14">
        <f>E36+E43</f>
        <v>286.6290735824166</v>
      </c>
      <c r="F50" s="14">
        <f aca="true" t="shared" si="13" ref="F50:X52">F36+F43</f>
        <v>256.64244067398874</v>
      </c>
      <c r="G50" s="14">
        <f t="shared" si="13"/>
        <v>517.9191155512169</v>
      </c>
      <c r="H50" s="14">
        <f t="shared" si="13"/>
        <v>532.0510109521422</v>
      </c>
      <c r="I50" s="14">
        <f t="shared" si="13"/>
        <v>481.1376402696583</v>
      </c>
      <c r="J50" s="14">
        <f t="shared" si="13"/>
        <v>435.6237558290152</v>
      </c>
      <c r="K50" s="14">
        <f t="shared" si="13"/>
        <v>394.92318662998986</v>
      </c>
      <c r="L50" s="14">
        <f t="shared" si="13"/>
        <v>362.99222086428955</v>
      </c>
      <c r="M50" s="14">
        <f t="shared" si="13"/>
        <v>334.87165708511844</v>
      </c>
      <c r="N50" s="14">
        <f t="shared" si="13"/>
        <v>310.1754346995575</v>
      </c>
      <c r="O50" s="14">
        <f t="shared" si="13"/>
        <v>288.5612310039809</v>
      </c>
      <c r="P50" s="14">
        <f t="shared" si="13"/>
        <v>269.72553655916937</v>
      </c>
      <c r="Q50" s="14">
        <f t="shared" si="13"/>
        <v>253.39931660023362</v>
      </c>
      <c r="R50" s="14">
        <f t="shared" si="13"/>
        <v>239.34418638936347</v>
      </c>
      <c r="S50" s="14">
        <f t="shared" si="13"/>
        <v>227.34903767926255</v>
      </c>
      <c r="T50" s="14">
        <f t="shared" si="13"/>
        <v>217.22706148275435</v>
      </c>
      <c r="U50" s="14">
        <f t="shared" si="13"/>
        <v>208.81311930868756</v>
      </c>
      <c r="V50" s="14">
        <f t="shared" si="13"/>
        <v>201.96142107132465</v>
      </c>
      <c r="W50" s="14">
        <f t="shared" si="13"/>
        <v>196.54347313487207</v>
      </c>
      <c r="X50" s="14">
        <f t="shared" si="13"/>
        <v>192.44626452422267</v>
      </c>
    </row>
    <row r="51" spans="1:24" ht="12.75" outlineLevel="1">
      <c r="A51" s="1" t="s">
        <v>86</v>
      </c>
      <c r="B51" s="1"/>
      <c r="C51" s="1"/>
      <c r="D51" s="1"/>
      <c r="E51" s="14">
        <f aca="true" t="shared" si="14" ref="E51:T52">E37+E44</f>
        <v>0</v>
      </c>
      <c r="F51" s="14">
        <f t="shared" si="14"/>
        <v>321.72432216220875</v>
      </c>
      <c r="G51" s="14">
        <f t="shared" si="14"/>
        <v>76.10511664759674</v>
      </c>
      <c r="H51" s="14">
        <f t="shared" si="14"/>
        <v>5</v>
      </c>
      <c r="I51" s="14">
        <f t="shared" si="14"/>
        <v>5</v>
      </c>
      <c r="J51" s="14">
        <f t="shared" si="14"/>
        <v>5</v>
      </c>
      <c r="K51" s="14">
        <f t="shared" si="14"/>
        <v>10</v>
      </c>
      <c r="L51" s="14">
        <f t="shared" si="14"/>
        <v>10.5</v>
      </c>
      <c r="M51" s="14">
        <f t="shared" si="14"/>
        <v>11.025000000000002</v>
      </c>
      <c r="N51" s="14">
        <f t="shared" si="14"/>
        <v>11.576250000000002</v>
      </c>
      <c r="O51" s="14">
        <f t="shared" si="14"/>
        <v>12.155062500000001</v>
      </c>
      <c r="P51" s="14">
        <f t="shared" si="14"/>
        <v>12.762815625000002</v>
      </c>
      <c r="Q51" s="14">
        <f t="shared" si="14"/>
        <v>13.400956406250003</v>
      </c>
      <c r="R51" s="14">
        <f t="shared" si="14"/>
        <v>14.071004226562506</v>
      </c>
      <c r="S51" s="14">
        <f t="shared" si="14"/>
        <v>14.77455443789063</v>
      </c>
      <c r="T51" s="14">
        <f t="shared" si="14"/>
        <v>15.513282159785163</v>
      </c>
      <c r="U51" s="14">
        <f t="shared" si="13"/>
        <v>16.28894626777442</v>
      </c>
      <c r="V51" s="14">
        <f t="shared" si="13"/>
        <v>17.103393581163143</v>
      </c>
      <c r="W51" s="14">
        <f t="shared" si="13"/>
        <v>17.9585632602213</v>
      </c>
      <c r="X51" s="14">
        <f t="shared" si="13"/>
        <v>18.856491423232367</v>
      </c>
    </row>
    <row r="52" spans="1:24" ht="12.75" outlineLevel="1">
      <c r="A52" s="1" t="s">
        <v>29</v>
      </c>
      <c r="B52" s="1"/>
      <c r="C52" s="1"/>
      <c r="D52" s="1"/>
      <c r="E52" s="14">
        <f t="shared" si="14"/>
        <v>29.986632908427875</v>
      </c>
      <c r="F52" s="14">
        <f t="shared" si="13"/>
        <v>60.447647284980604</v>
      </c>
      <c r="G52" s="14">
        <f t="shared" si="13"/>
        <v>61.973221246671464</v>
      </c>
      <c r="H52" s="14">
        <f t="shared" si="13"/>
        <v>55.91337068248389</v>
      </c>
      <c r="I52" s="14">
        <f t="shared" si="13"/>
        <v>50.51388444064312</v>
      </c>
      <c r="J52" s="14">
        <f t="shared" si="13"/>
        <v>45.700569199025296</v>
      </c>
      <c r="K52" s="14">
        <f t="shared" si="13"/>
        <v>41.930965765700364</v>
      </c>
      <c r="L52" s="14">
        <f t="shared" si="13"/>
        <v>38.620563779171086</v>
      </c>
      <c r="M52" s="14">
        <f t="shared" si="13"/>
        <v>35.72122238556092</v>
      </c>
      <c r="N52" s="14">
        <f t="shared" si="13"/>
        <v>33.19045369557664</v>
      </c>
      <c r="O52" s="14">
        <f t="shared" si="13"/>
        <v>30.990756944811487</v>
      </c>
      <c r="P52" s="14">
        <f t="shared" si="13"/>
        <v>29.089035583935747</v>
      </c>
      <c r="Q52" s="14">
        <f t="shared" si="13"/>
        <v>27.45608661712014</v>
      </c>
      <c r="R52" s="14">
        <f t="shared" si="13"/>
        <v>26.06615293666344</v>
      </c>
      <c r="S52" s="14">
        <f t="shared" si="13"/>
        <v>24.896530634398857</v>
      </c>
      <c r="T52" s="14">
        <f t="shared" si="13"/>
        <v>23.927224333851946</v>
      </c>
      <c r="U52" s="14">
        <f t="shared" si="13"/>
        <v>23.14064450513733</v>
      </c>
      <c r="V52" s="14">
        <f t="shared" si="13"/>
        <v>22.521341517615717</v>
      </c>
      <c r="W52" s="14">
        <f t="shared" si="13"/>
        <v>22.05577187087069</v>
      </c>
      <c r="X52" s="14">
        <f t="shared" si="13"/>
        <v>21.732092637594576</v>
      </c>
    </row>
    <row r="53" spans="1:24" ht="12.75" outlineLevel="1">
      <c r="A53" s="33" t="s">
        <v>92</v>
      </c>
      <c r="B53" s="33"/>
      <c r="C53" s="33"/>
      <c r="D53" s="33"/>
      <c r="E53" s="34">
        <f>E46+E39</f>
        <v>256.64244067398874</v>
      </c>
      <c r="F53" s="34">
        <f aca="true" t="shared" si="15" ref="F53:X53">F46+F39</f>
        <v>517.9191155512169</v>
      </c>
      <c r="G53" s="34">
        <f t="shared" si="15"/>
        <v>532.0510109521422</v>
      </c>
      <c r="H53" s="34">
        <f t="shared" si="15"/>
        <v>481.1376402696583</v>
      </c>
      <c r="I53" s="34">
        <f t="shared" si="15"/>
        <v>435.6237558290152</v>
      </c>
      <c r="J53" s="34">
        <f t="shared" si="15"/>
        <v>394.92318662998986</v>
      </c>
      <c r="K53" s="34">
        <f t="shared" si="15"/>
        <v>362.99222086428955</v>
      </c>
      <c r="L53" s="34">
        <f t="shared" si="15"/>
        <v>334.87165708511844</v>
      </c>
      <c r="M53" s="34">
        <f t="shared" si="15"/>
        <v>310.1754346995575</v>
      </c>
      <c r="N53" s="34">
        <f t="shared" si="15"/>
        <v>288.5612310039809</v>
      </c>
      <c r="O53" s="34">
        <f t="shared" si="15"/>
        <v>269.72553655916937</v>
      </c>
      <c r="P53" s="34">
        <f t="shared" si="15"/>
        <v>253.39931660023362</v>
      </c>
      <c r="Q53" s="34">
        <f t="shared" si="15"/>
        <v>239.34418638936347</v>
      </c>
      <c r="R53" s="34">
        <f t="shared" si="15"/>
        <v>227.34903767926255</v>
      </c>
      <c r="S53" s="34">
        <f t="shared" si="15"/>
        <v>217.22706148275435</v>
      </c>
      <c r="T53" s="34">
        <f t="shared" si="15"/>
        <v>208.81311930868756</v>
      </c>
      <c r="U53" s="34">
        <f t="shared" si="15"/>
        <v>201.96142107132465</v>
      </c>
      <c r="V53" s="34">
        <f t="shared" si="15"/>
        <v>196.54347313487207</v>
      </c>
      <c r="W53" s="34">
        <f t="shared" si="15"/>
        <v>192.44626452422267</v>
      </c>
      <c r="X53" s="34">
        <f t="shared" si="15"/>
        <v>189.57066330986046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spml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Pankaj Tatia</dc:creator>
  <cp:keywords/>
  <dc:description/>
  <cp:lastModifiedBy>user</cp:lastModifiedBy>
  <cp:lastPrinted>2010-08-21T05:51:57Z</cp:lastPrinted>
  <dcterms:created xsi:type="dcterms:W3CDTF">2010-08-06T04:59:39Z</dcterms:created>
  <dcterms:modified xsi:type="dcterms:W3CDTF">2015-12-14T06:36:19Z</dcterms:modified>
  <cp:category/>
  <cp:version/>
  <cp:contentType/>
  <cp:contentStatus/>
</cp:coreProperties>
</file>